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custom-properties+xml" PartName="/docProps/custom.xml"/>
  <Override ContentType="application/vnd.openxmlformats-officedocument.spreadsheetml.worksheet+xml" PartName="/xl/worksheets/sheet5.xml"/>
  <Override ContentType="application/vnd.openxmlformats-officedocument.spreadsheetml.worksheet+xml" PartName="/xl/worksheets/sheet4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worksheet+xml" PartName="/xl/worksheets/sheet6.xml"/>
  <Override ContentType="application/vnd.openxmlformats-officedocument.spreadsheetml.worksheet+xml" PartName="/xl/worksheets/sheet8.xml"/>
  <Override ContentType="application/vnd.openxmlformats-officedocument.spreadsheetml.worksheet+xml" PartName="/xl/worksheets/sheet7.xml"/>
  <Override ContentType="application/binary" PartName="/xl/metadata"/>
  <Override ContentType="application/vnd.openxmlformats-officedocument.spreadsheetml.sharedStrings+xml" PartName="/xl/sharedStrings.xml"/>
  <Override ContentType="application/vnd.openxmlformats-officedocument.drawing+xml" PartName="/xl/drawings/drawing4.xml"/>
  <Override ContentType="application/vnd.openxmlformats-officedocument.drawing+xml" PartName="/xl/drawings/drawing8.xml"/>
  <Override ContentType="application/vnd.openxmlformats-officedocument.drawing+xml" PartName="/xl/drawings/drawing3.xml"/>
  <Override ContentType="application/vnd.openxmlformats-officedocument.drawing+xml" PartName="/xl/drawings/drawing6.xml"/>
  <Override ContentType="application/vnd.openxmlformats-officedocument.drawing+xml" PartName="/xl/drawings/drawing5.xml"/>
  <Override ContentType="application/vnd.openxmlformats-officedocument.drawing+xml" PartName="/xl/drawings/drawing1.xml"/>
  <Override ContentType="application/vnd.openxmlformats-officedocument.drawing+xml" PartName="/xl/drawings/drawing7.xml"/>
  <Override ContentType="application/vnd.openxmlformats-officedocument.drawing+xml" PartName="/xl/drawings/drawing2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custom-properties" Target="docProps/custom.xml"/><Relationship Id="rId3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README" sheetId="1" r:id="rId4"/>
    <sheet state="visible" name="Assumptions" sheetId="2" r:id="rId5"/>
    <sheet state="visible" name="Market Sizing" sheetId="3" r:id="rId6"/>
    <sheet state="visible" name="BOM &amp; Unit Cost" sheetId="4" r:id="rId7"/>
    <sheet state="visible" name="Revenue Build" sheetId="5" r:id="rId8"/>
    <sheet state="visible" name="P&amp;L" sheetId="6" r:id="rId9"/>
    <sheet state="visible" name="Scenarios" sheetId="7" r:id="rId10"/>
    <sheet state="visible" name="Sources" sheetId="8" r:id="rId11"/>
  </sheets>
  <definedNames/>
  <calcPr/>
  <extLst>
    <ext uri="GoogleSheetsCustomDataVersion2">
      <go:sheetsCustomData xmlns:go="http://customooxmlschemas.google.com/" r:id="rId12" roundtripDataChecksum="fuBr+FQwMSPYfz0VONz5mLnvOk0llncFbpdqpB0KDKo="/>
    </ext>
  </extLst>
</workbook>
</file>

<file path=xl/sharedStrings.xml><?xml version="1.0" encoding="utf-8"?>
<sst xmlns="http://schemas.openxmlformats.org/spreadsheetml/2006/main" count="407" uniqueCount="346">
  <si>
    <t>ZKK CONSULTING - (REDACTED) FIVE-YEAR COMMERCIAL MODEL</t>
  </si>
  <si>
    <t>MARKET SIZING - US, 2026</t>
  </si>
  <si>
    <t>ASSUMPTIONS</t>
  </si>
  <si>
    <t>Companion workbook to: Wrist-Worn Fall Detection - Market, Competitive, Patent and Commercial Analysis</t>
  </si>
  <si>
    <t>Built bottom-up from named public inputs. Estimates based on the stated assumptions; not forecasts.</t>
  </si>
  <si>
    <t>Illustrative sample deliverable. Enterprise engagement + Patent Landscape Analysis. Data as of 23 August 2026.</t>
  </si>
  <si>
    <t>Blue on yellow = editable input. Column D names the source, or flags the absence of one.</t>
  </si>
  <si>
    <t>BILL OF MATERIALS AND UNIT COST</t>
  </si>
  <si>
    <t>TAM - THEORETICAL CEILING</t>
  </si>
  <si>
    <t>Source: client files All Parts and Components.xlsx, LCSC_BOM.xlsx and V3_PARTSCOMPS.xlsx. Component prices as of the client's retrieval, March 2026.</t>
  </si>
  <si>
    <t>MARKET INPUTS</t>
  </si>
  <si>
    <t>HOW TO READ THIS WORKBOOK</t>
  </si>
  <si>
    <t>V3 BILL OF MATERIALS - QUANTITY-WEIGHTED</t>
  </si>
  <si>
    <t>Blue text on yellow fill = an input you can change. Every other cell is a formula and will update.</t>
  </si>
  <si>
    <t>Black text = calculated in this sheet.  Green text = pulled from another sheet in this workbook.</t>
  </si>
  <si>
    <t>US adults aged 65+</t>
  </si>
  <si>
    <t>Column D on the Assumptions tab names the source or states that the figure is an unvalidated placeholder.</t>
  </si>
  <si>
    <t>Component</t>
  </si>
  <si>
    <t>TABS</t>
  </si>
  <si>
    <t>Assumptions      Every driver in the model, in one place, each with its source or a flag that it has none.</t>
  </si>
  <si>
    <t>Market Sizing    TAM, SAM and SOM built from named public inputs rather than a single analyst headline.</t>
  </si>
  <si>
    <t>Qty</t>
  </si>
  <si>
    <t>Unit @1</t>
  </si>
  <si>
    <t>BOM &amp; Unit Cost  Bill of materials from the client's own sourcing files, plus the cost lines those files omit.</t>
  </si>
  <si>
    <t>Unit @1k</t>
  </si>
  <si>
    <t>Ext @1</t>
  </si>
  <si>
    <t>Revenue Build    Subscriber roll-forward and revenue by year, FY2027-FY2031.</t>
  </si>
  <si>
    <t>Ext @1k</t>
  </si>
  <si>
    <t>Note</t>
  </si>
  <si>
    <t>P&amp;L              Gross profit, operating expense and EBITDA by year.</t>
  </si>
  <si>
    <t>persons</t>
  </si>
  <si>
    <t>Scenarios        Downside, base and upside on the four drivers the outcome is actually sensitive to.</t>
  </si>
  <si>
    <t>MCU / BLE module</t>
  </si>
  <si>
    <t>US Census Bureau, Vintage 2024 estimates (1 July 2024), released 26 Jun 2025</t>
  </si>
  <si>
    <t>Sources          Every external figure used, with URL and retrieval date.</t>
  </si>
  <si>
    <t>Share of adults 65+ living alone</t>
  </si>
  <si>
    <t>THE FOUR NUMBERS THAT DECIDE THIS BUSINESS</t>
  </si>
  <si>
    <t>Customer acquisition cost, annual churn, the monitoring-centre cost per subscriber, and the contract-manufacture</t>
  </si>
  <si>
    <t>cost of the enclosure and assembly. None of the four could be sourced from public data. All four are marked as</t>
  </si>
  <si>
    <t>placeholders and all four are swept on the Scenarios tab. Get real quotes and real cohort data before this model</t>
  </si>
  <si>
    <t>% of 65+</t>
  </si>
  <si>
    <t>is used for any decision that spends money.</t>
  </si>
  <si>
    <t>Pew Research Center, 4 Dec 2025, using Census/ACS via IPUMS (2023 data)</t>
  </si>
  <si>
    <t>LIMITATIONS</t>
  </si>
  <si>
    <t>Annual category spend per subscriber</t>
  </si>
  <si>
    <t>Wearable ownership, adults 50+</t>
  </si>
  <si>
    <t>Projections are estimates based on the stated assumptions and are not forecasts, guarantees, or investment advice.</t>
  </si>
  <si>
    <t>% of 50+</t>
  </si>
  <si>
    <t>Actual results will differ. Figures are indicative and current as of the retrieval dates on the Sources tab.</t>
  </si>
  <si>
    <t>AARP 2026 Technology Trends (n=3,838, fielded Sep-Oct 2025). Proxy for wearable receptivity; no 65+ figure is published</t>
  </si>
  <si>
    <t>This workbook does not constitute legal, regulatory, medical, tax or investment advice.</t>
  </si>
  <si>
    <t>Current medical-alert penetration, 65+</t>
  </si>
  <si>
    <t>The Senior List 2026 Usage Report (n=909 adults 65+, fielded Apr-May 2026). Industry-sponsored survey; triangulates with Berg Insight</t>
  </si>
  <si>
    <t>Category average monthly monitoring fee</t>
  </si>
  <si>
    <t>$/month</t>
  </si>
  <si>
    <t>ConsumerAffairs medical alert statistics; SeniorLiving.org quotes a $25-$60 range (12 Aug 2026)</t>
  </si>
  <si>
    <t>PRICING</t>
  </si>
  <si>
    <t>Device price (one-time)</t>
  </si>
  <si>
    <t>$</t>
  </si>
  <si>
    <t>Positioned at Bay Alarm SOS Smartwatch ($199) and Medical Guardian MGMove ($199.95), retrieved 23 Aug 2026</t>
  </si>
  <si>
    <t>Row labelled ESP32-C3-MINI-1 but described as Nordic nRF52805 with an Espressif datasheet. Unresolved.</t>
  </si>
  <si>
    <t>Subscription price, fall detection included</t>
  </si>
  <si>
    <t>IMU / LSM6DSV16XTR</t>
  </si>
  <si>
    <t>TAM at 100% adoption</t>
  </si>
  <si>
    <t>Between Lively Basic ($24.99 + $9.99 FD) and Bay Alarm ($39.95 + $11 FD); well under UnaliWear Kanega ($64.95). Retrieved 23 Aug 2026</t>
  </si>
  <si>
    <t>Device replacement cycle</t>
  </si>
  <si>
    <t>years</t>
  </si>
  <si>
    <t>ASSUMPTION - no published replacement-cycle data found for this category</t>
  </si>
  <si>
    <t>Upgraded from LSM6DSOXTR mid-programme. Largest single line.</t>
  </si>
  <si>
    <t>Battery charger / MCP73831T</t>
  </si>
  <si>
    <t>HARDWARE COST PER UNIT</t>
  </si>
  <si>
    <t>Theoretical ceiling only. No consumer category reaches 100% of a demographic.</t>
  </si>
  <si>
    <t>Bill of materials, qty 1,000</t>
  </si>
  <si>
    <t>$/unit</t>
  </si>
  <si>
    <t>CROSS-CHECK - CURRENT US CATEGORY SPEND</t>
  </si>
  <si>
    <t>Client V3_PARTSCOMPS.xlsx, quantity-weighted, plus the 150mAh cell from All Parts and Components.xlsx. See BOM tab</t>
  </si>
  <si>
    <t>USB-C receptacle, power only</t>
  </si>
  <si>
    <t>PCB fabrication and assembly</t>
  </si>
  <si>
    <t>PLACEHOLDER - no quote obtained. Requires a real assembler quote at target volume</t>
  </si>
  <si>
    <t>Current subscribers, 65+ (bottom-up)</t>
  </si>
  <si>
    <t>Enclosure, strap and hardware</t>
  </si>
  <si>
    <t>PLACEHOLDER - no quote obtained. Excludes tooling, which is captured separately</t>
  </si>
  <si>
    <t>LDO regulator / XC6206P332MR</t>
  </si>
  <si>
    <t>Absent from the earlier DigiKey list.</t>
  </si>
  <si>
    <t>MOSFET / 2N7002</t>
  </si>
  <si>
    <t>Packaging and literature</t>
  </si>
  <si>
    <t>PLACEHOLDER - no quote obtained</t>
  </si>
  <si>
    <t>Implied current US spend</t>
  </si>
  <si>
    <t>Inbound freight and duty</t>
  </si>
  <si>
    <t>PLACEHOLDER - no quote obtained. Tariff exposure on Chinese-assembled goods not modelled</t>
  </si>
  <si>
    <t>Warranty and returns reserve</t>
  </si>
  <si>
    <t>TVS diode / ESD5Z5.0T1G</t>
  </si>
  <si>
    <t>% of unit cost</t>
  </si>
  <si>
    <t>PLACEHOLDER - no category return-rate data found</t>
  </si>
  <si>
    <t>SERVICE COST PER SUBSCRIBER</t>
  </si>
  <si>
    <t>Compare: Berg Insight puts North American telecare at US$3.7bn across 6.5m users, 2025. Two independent methods land in the same range, which is the strongest validation available here.</t>
  </si>
  <si>
    <t>JST battery connector</t>
  </si>
  <si>
    <t>SAM - SERVICEABLE ADDRESSABLE MARKET</t>
  </si>
  <si>
    <t>Adults 65+ living alone</t>
  </si>
  <si>
    <t>Cellular connectivity</t>
  </si>
  <si>
    <t>$/sub/month</t>
  </si>
  <si>
    <t>PLACEHOLDER - benchmarked loosely against Verizon prepaid smartwatch retail ($10/mo); wholesale IoT rates not obtained</t>
  </si>
  <si>
    <t>Monitoring centre (outsourced)</t>
  </si>
  <si>
    <t>Flyback diode / 1N4148WX</t>
  </si>
  <si>
    <t>PLACEHOLDER - no public wholesale monitoring pricing found. Must be UL-listed for Medicaid channel access</t>
  </si>
  <si>
    <t>Cloud, app and support</t>
  </si>
  <si>
    <t>Payment processing</t>
  </si>
  <si>
    <t>Vibration motor / ERM coin</t>
  </si>
  <si>
    <t>% of sub revenue</t>
  </si>
  <si>
    <t>Standard card-present-absent merchant rate. Applied to subscription revenue</t>
  </si>
  <si>
    <t>The population for whom an unwitnessed fall is the actual risk. Note this share has fallen from 29% in 1990 - the absolute number grows, the rate does not.</t>
  </si>
  <si>
    <t>CUSTOMER ECONOMICS</t>
  </si>
  <si>
    <t>…that are wearable-receptive</t>
  </si>
  <si>
    <t>Resistor 10k 0402</t>
  </si>
  <si>
    <t>Customer acquisition cost</t>
  </si>
  <si>
    <t>$/gross add</t>
  </si>
  <si>
    <t>PLACEHOLDER - NO public CAC data exists for this category. The single most sensitive input in the model</t>
  </si>
  <si>
    <t>Annual subscriber churn</t>
  </si>
  <si>
    <t>Resistor 5.1k 0402</t>
  </si>
  <si>
    <t>Applies the 50+ wearable ownership rate as a receptivity proxy. Almost certainly generous: ownership among 65+ specifically is lower and is not measured in current public data.</t>
  </si>
  <si>
    <t>Annual revenue per subscriber at our pricing</t>
  </si>
  <si>
    <t>% per year</t>
  </si>
  <si>
    <t>PLACEHOLDER - NO public churn data exists for this category. Second most sensitive input</t>
  </si>
  <si>
    <t>GROSS SUBSCRIBER ADDITIONS BY YEAR</t>
  </si>
  <si>
    <t>USB-C CC1 and CC2.</t>
  </si>
  <si>
    <t>Resistor 100k 0402</t>
  </si>
  <si>
    <t>Fiscal year</t>
  </si>
  <si>
    <t>FY2027</t>
  </si>
  <si>
    <t>FY2028</t>
  </si>
  <si>
    <t>FY2029</t>
  </si>
  <si>
    <t>Capacitor 100nF 0402</t>
  </si>
  <si>
    <t>FY2030</t>
  </si>
  <si>
    <t>FY2031</t>
  </si>
  <si>
    <t>Gross adds</t>
  </si>
  <si>
    <t>Subscription plus the device amortised across its replacement cycle.</t>
  </si>
  <si>
    <t>SAM</t>
  </si>
  <si>
    <t>PLACEHOLDER ramp. Year 5 equals roughly 0.9% of the SAM on the Market Sizing tab. Not a forecast.</t>
  </si>
  <si>
    <t>Capacitor 10uF 0603</t>
  </si>
  <si>
    <t>ONE-TIME COSTS (FY2027)</t>
  </si>
  <si>
    <t>FCC / ISED / CE certification</t>
  </si>
  <si>
    <t>SOM - OBTAINABLE, FY2031</t>
  </si>
  <si>
    <t>SparkFun published invoice for the Artemis module, 3 Dec 2019: FCC $4,000, ISED $3,000, Canadian agency $600, CE RED $2,800, CE LVD $1,800</t>
  </si>
  <si>
    <t>Capacitor 1uF 0402</t>
  </si>
  <si>
    <t>Bluetooth SIG product qualification</t>
  </si>
  <si>
    <t>Ending subscribers, FY2031</t>
  </si>
  <si>
    <t>Bluetooth SIG fee schedule effective 1 Mar 2026, Adopter tier. Falls to $8,000 at Contributing Adopter ($3,500/yr membership)</t>
  </si>
  <si>
    <t>Injection mould tooling</t>
  </si>
  <si>
    <t>Capacitor 4.7uF 0402</t>
  </si>
  <si>
    <t>OPERATING EXPENSE (excluding sales and marketing)</t>
  </si>
  <si>
    <t>FY2031 revenue</t>
  </si>
  <si>
    <t>Subtotal - electronics</t>
  </si>
  <si>
    <t>Research and development</t>
  </si>
  <si>
    <t>General and administrative</t>
  </si>
  <si>
    <t>SOM as share of SAM</t>
  </si>
  <si>
    <t>PLACEHOLDER structure. Replace with the client operating plan. Not derived from any external source.</t>
  </si>
  <si>
    <t>Battery - 150mAh 3.7V Li-Po</t>
  </si>
  <si>
    <t>A share this small is the point. In a category where the incumbent leader reports 900,000+ subscribers, a credible five-year plan is a rounding error on the market - and that is a reason for confidence in the plan, not against it.</t>
  </si>
  <si>
    <t>WHY THIS IS NOT A SINGLE ANALYST NUMBER</t>
  </si>
  <si>
    <t>Published estimates of this category disagree by more than they agree. Three firms sizing "fall detection systems" in the</t>
  </si>
  <si>
    <t>SUBSCRIBER AND REVENUE BUILD</t>
  </si>
  <si>
    <t>same base year differ by 46% on level, and their 2035 forecasts differ by roughly six times ($857m against $5.17bn).</t>
  </si>
  <si>
    <t>The divergence is definitional: firms that count consumer smartwatches inside the category project a large market, and</t>
  </si>
  <si>
    <t>Estimates based on the assumptions on the Assumptions tab. Not a forecast.</t>
  </si>
  <si>
    <t>Absent from both LCSC sheets. The qty-1,000 price in the client file equals the qty-1 price, which is almost certainly a copied cell rather than a volume quote. At $5.95 this line is 81% of the electronics cost beside it. Re-quote before use.</t>
  </si>
  <si>
    <t>firms that exclude them project a small one. Averaging them would manufacture false precision. The build above uses</t>
  </si>
  <si>
    <t>TOTAL BILL OF MATERIALS</t>
  </si>
  <si>
    <t>government population data and disclosed-methodology surveys instead, and states every step.</t>
  </si>
  <si>
    <t>SOURCING MIGRATION - WHAT THE SAVING ACTUALLY WAS</t>
  </si>
  <si>
    <t>SUBSCRIBERS</t>
  </si>
  <si>
    <t>Configuration</t>
  </si>
  <si>
    <t>Qty 1</t>
  </si>
  <si>
    <t>Qty 1,000</t>
  </si>
  <si>
    <t>Opening subscribers</t>
  </si>
  <si>
    <t>V1 board, distributor sourcing (incl. battery)</t>
  </si>
  <si>
    <t>Client All Parts and Components.xlsx. Excludes LDO, TVS and JST.</t>
  </si>
  <si>
    <t>V1 board, re-sourced to assembler (excl. battery)</t>
  </si>
  <si>
    <t>Client LCSC_BOM.xlsx. 71.2% below the distributor figure at qty 1.</t>
  </si>
  <si>
    <t>V3 board, assembler sourcing (excl. battery)</t>
  </si>
  <si>
    <t>Quantity-weighted. Includes the upgraded IMU and the three added parts.</t>
  </si>
  <si>
    <t>V3 board plus battery - like-for-like</t>
  </si>
  <si>
    <t>The only valid comparison against the $14.06 distributor figure.</t>
  </si>
  <si>
    <t>Like-for-like saving at qty 1,000</t>
  </si>
  <si>
    <t>Gross additions</t>
  </si>
  <si>
    <t>The headline 71% is real, and it is a qty-1 figure on the original board. At volume, with the battery restored and the sensor upgraded, the saving is single digits. Both numbers are true; only the pair is honest.</t>
  </si>
  <si>
    <t>FULLY LOADED UNIT COST</t>
  </si>
  <si>
    <t>Bill of materials (qty 1,000, incl. battery)</t>
  </si>
  <si>
    <t>Churned subscribers</t>
  </si>
  <si>
    <t>Subtotal</t>
  </si>
  <si>
    <t>FULLY LOADED COST PER UNIT</t>
  </si>
  <si>
    <t>Device price</t>
  </si>
  <si>
    <t>Hardware gross margin</t>
  </si>
  <si>
    <t>Closing subscribers</t>
  </si>
  <si>
    <t>Four of the five cost lines above are unquoted placeholders. This margin is a structure, not a result.</t>
  </si>
  <si>
    <t>Churn applied to opening balance plus half of gross adds (mid-year convention).</t>
  </si>
  <si>
    <t>Average subscribers</t>
  </si>
  <si>
    <t>REVENUE</t>
  </si>
  <si>
    <t>Device revenue</t>
  </si>
  <si>
    <t>PROJECTED PROFIT AND LOSS - FY2027 TO FY2031</t>
  </si>
  <si>
    <t>Estimates based on the stated assumptions. Not a forecast, a guarantee, or investment advice.</t>
  </si>
  <si>
    <t>Subscription revenue</t>
  </si>
  <si>
    <t>SCENARIOS AND SENSITIVITY</t>
  </si>
  <si>
    <t>Change the four drivers on the Assumptions tab to the values below and read the result. Illustrative, not exhaustive.</t>
  </si>
  <si>
    <t>THE FOUR DRIVERS THAT DECIDE THE OUTCOME</t>
  </si>
  <si>
    <t>Driver</t>
  </si>
  <si>
    <t>Downside</t>
  </si>
  <si>
    <t>Base</t>
  </si>
  <si>
    <t>Upside</t>
  </si>
  <si>
    <t>Currently in model</t>
  </si>
  <si>
    <t>Why it matters</t>
  </si>
  <si>
    <t>No public CAC figure exists for this category. Sales and marketing is the largest operating line.</t>
  </si>
  <si>
    <t>Annual churn</t>
  </si>
  <si>
    <t>TOTAL REVENUE</t>
  </si>
  <si>
    <t>No public churn figure exists. Sets subscriber life, and therefore lifetime value.</t>
  </si>
  <si>
    <t>Monitoring cost per subscriber</t>
  </si>
  <si>
    <t>Unquoted. Sits directly in service gross margin, every month, forever.</t>
  </si>
  <si>
    <t>Enclosure and assembly per unit</t>
  </si>
  <si>
    <t>Total revenue</t>
  </si>
  <si>
    <t>Subscription share of revenue</t>
  </si>
  <si>
    <t>Unquoted. Small in absolute terms but it is most of the hardware cost that is not the bill of materials.</t>
  </si>
  <si>
    <t>CURRENT MODEL OUTPUT</t>
  </si>
  <si>
    <t>COST OF REVENUE</t>
  </si>
  <si>
    <t>Device cost</t>
  </si>
  <si>
    <t>UNIT ECONOMICS PER SUBSCRIBER</t>
  </si>
  <si>
    <t>FY2031 EBITDA</t>
  </si>
  <si>
    <t>Annual subscription revenue</t>
  </si>
  <si>
    <t>FY2031 EBITDA margin</t>
  </si>
  <si>
    <t>Peak cumulative cash requirement</t>
  </si>
  <si>
    <t>Annual service cost</t>
  </si>
  <si>
    <t>Lifetime value to CAC</t>
  </si>
  <si>
    <t>Annual service gross profit</t>
  </si>
  <si>
    <t>Service cost</t>
  </si>
  <si>
    <t>Hardware gross profit (one-time)</t>
  </si>
  <si>
    <t>HOW TO USE THIS</t>
  </si>
  <si>
    <t>This is a manual sensitivity table, not a data table, because the four drivers interact and a one-way table would</t>
  </si>
  <si>
    <t>understate the range. Set all four to the downside column, note the outputs, then set all four to upside and note</t>
  </si>
  <si>
    <t>Average subscriber life</t>
  </si>
  <si>
    <t>them again. The gap between those two runs is the honest width of the uncertainty in this business case.</t>
  </si>
  <si>
    <t>If the downside run does not survive, the problem is not the model. It is that the business plan depends on four</t>
  </si>
  <si>
    <t>numbers nobody has measured yet. Three of the four can be resolved with quotes inside a fortnight. Churn cannot -</t>
  </si>
  <si>
    <t>it takes a real cohort and real time.</t>
  </si>
  <si>
    <t>RESULT OF RE-RUNNING THE MODEL AT EACH SETTING</t>
  </si>
  <si>
    <t>Lifetime value (undiscounted)</t>
  </si>
  <si>
    <t>Output (FY2031 unless noted)</t>
  </si>
  <si>
    <t>Comment</t>
  </si>
  <si>
    <t>Revenue barely moves. The subscriber plan is the same in all three.</t>
  </si>
  <si>
    <t>EBITDA</t>
  </si>
  <si>
    <t>Everything moves here. Same top line, opposite businesses.</t>
  </si>
  <si>
    <t>EBITDA margin</t>
  </si>
  <si>
    <t>LTV to CAC ratio</t>
  </si>
  <si>
    <t>Churn is the only driver that touches the subscriber count.</t>
  </si>
  <si>
    <t>Peak cumulative cash need</t>
  </si>
  <si>
    <t>A fifteen-fold swing. This is the number that decides whether the company needs to raise.</t>
  </si>
  <si>
    <t>Below roughly 3x, paid acquisition stops working.</t>
  </si>
  <si>
    <t>Both inputs are placeholders. This ratio moves more than any other number in the workbook when they change.</t>
  </si>
  <si>
    <t>Months to recover CAC</t>
  </si>
  <si>
    <t>Computed by setting all four drivers to the named column and recalculating. Values are static; change the drivers on the Assumptions tab to reproduce.</t>
  </si>
  <si>
    <t>THE ONE SENTENCE THAT MATTERS</t>
  </si>
  <si>
    <t>The same subscriber plan produces either an $8.3m EBITDA business that funds itself on under $300k, or a business</t>
  </si>
  <si>
    <t>that loses money in year five and needs $4.2m along the way. Nothing separates those two outcomes except four</t>
  </si>
  <si>
    <t>numbers that have not been measured. Measuring them is cheaper than either outcome.</t>
  </si>
  <si>
    <t>months</t>
  </si>
  <si>
    <t>SOURCES</t>
  </si>
  <si>
    <t>Every external figure used in this workbook. Retrieved 23 August 2026 unless otherwise stated.</t>
  </si>
  <si>
    <t>GROSS PROFIT</t>
  </si>
  <si>
    <t>Figure used</t>
  </si>
  <si>
    <t>Source</t>
  </si>
  <si>
    <t>Type</t>
  </si>
  <si>
    <t>URL</t>
  </si>
  <si>
    <t>61.2m US adults 65+ (1 Jul 2024)</t>
  </si>
  <si>
    <t>US Census Bureau, Vintage 2024</t>
  </si>
  <si>
    <t>Government</t>
  </si>
  <si>
    <t>https://www.census.gov/newsroom/press-releases/2025/older-adults-outnumber-children.html</t>
  </si>
  <si>
    <t>26% of 65+ live alone (2023)</t>
  </si>
  <si>
    <t>Pew Research Center, 4 Dec 2025</t>
  </si>
  <si>
    <t>Survey (Census/ACS)</t>
  </si>
  <si>
    <t>https://www.pewresearch.org/short-reads/2025/12/04/a-smaller-share-of-older-us-adults-live-alone-today-than-in-1990/</t>
  </si>
  <si>
    <t>36% wearable ownership, 50+</t>
  </si>
  <si>
    <t>AARP 2026 Technology Trends</t>
  </si>
  <si>
    <t>Survey (n=3,838)</t>
  </si>
  <si>
    <t>https://www.aarp.org/pri/topics/technology/internet-media-devices/2026-technology-trends-older-adults/</t>
  </si>
  <si>
    <t>9% medical-alert penetration, 65+</t>
  </si>
  <si>
    <t>The Senior List 2026 Usage Report</t>
  </si>
  <si>
    <t>Industry-sponsored survey</t>
  </si>
  <si>
    <t>https://www.theseniorlist.com/research/medical-alert-device-consumer-usage-study/</t>
  </si>
  <si>
    <t>$25-$60/month category range</t>
  </si>
  <si>
    <t>SeniorLiving.org, 12 Aug 2026</t>
  </si>
  <si>
    <t>Commercial publisher</t>
  </si>
  <si>
    <t>Gross margin</t>
  </si>
  <si>
    <t>https://www.seniorliving.org/medical-alert-systems/cost/</t>
  </si>
  <si>
    <t>16.2m telecare users; NA US$3.7bn (2025)</t>
  </si>
  <si>
    <t>Berg Insight via IoT Business News</t>
  </si>
  <si>
    <t>Specialist analyst</t>
  </si>
  <si>
    <t>https://iotbusinessnews.com/2026/02/28/the-number-of-telecare-solution-users-in-europe-and-north-america-reached-16-2-million-at-the-end-of-2025/</t>
  </si>
  <si>
    <t>Bay Alarm SOS Smartwatch $199 + $39.95/mo</t>
  </si>
  <si>
    <t>Bay Alarm Medical / SeniorLiving.org</t>
  </si>
  <si>
    <t>Vendor / third party</t>
  </si>
  <si>
    <t>https://www.bayalarmmedical.com/</t>
  </si>
  <si>
    <t>Medical Guardian MGMove $199.95 + $42.95/mo</t>
  </si>
  <si>
    <t>Medical Guardian via NCOA</t>
  </si>
  <si>
    <t>Third party</t>
  </si>
  <si>
    <t>https://www.ncoa.org/product-resources/medical-alert-systems/best-medical-alert-watches/</t>
  </si>
  <si>
    <t>UnaliWear Kanega $299 + $64.95/mo</t>
  </si>
  <si>
    <t>UnaliWear</t>
  </si>
  <si>
    <t>Vendor primary</t>
  </si>
  <si>
    <t>https://www.unaliwear.com/product/kanega-watch/</t>
  </si>
  <si>
    <t>Lively $24.99/mo + $9.99 fall detection</t>
  </si>
  <si>
    <t>Lively / Best Buy Health</t>
  </si>
  <si>
    <t>OPERATING EXPENSE</t>
  </si>
  <si>
    <t>https://shop.lively.com/pages/compare-plan</t>
  </si>
  <si>
    <t>Certification cost anchor $12,200</t>
  </si>
  <si>
    <t>SparkFun published invoice, 3 Dec 2019</t>
  </si>
  <si>
    <t>Primary invoice</t>
  </si>
  <si>
    <t>https://news.sparkfun.com/3124</t>
  </si>
  <si>
    <t>Sales and marketing</t>
  </si>
  <si>
    <t>Bluetooth SIG qualification $12,000 (Adopter)</t>
  </si>
  <si>
    <t>Bluetooth SIG fee schedule, eff. 1 Mar 2026</t>
  </si>
  <si>
    <t>Standards body</t>
  </si>
  <si>
    <t>https://www.bluetooth.com/develop-with-bluetooth/qualification-listing/qualification-listing-fees/</t>
  </si>
  <si>
    <t>FCC grantee code fee $35</t>
  </si>
  <si>
    <t>47 CFR 1.1103, eff. 23 May 2025</t>
  </si>
  <si>
    <t>Federal Register</t>
  </si>
  <si>
    <t>https://www.federalregister.gov/documents/2025/04/23/2025-06899/schedule-of-application-fees</t>
  </si>
  <si>
    <t>Component prices and part numbers</t>
  </si>
  <si>
    <t>Client files: All Parts and Components.xlsx, LCSC_BOM.xlsx, V3_PARTSCOMPS.xlsx</t>
  </si>
  <si>
    <t>Client-supplied</t>
  </si>
  <si>
    <t>Retrieved by client, March 2026. Quantity weighting applied by ZKK</t>
  </si>
  <si>
    <t>Fall-detection market $469.5m-$684.6m (2025)</t>
  </si>
  <si>
    <t>Future Market Insights / Grand View / Emergen</t>
  </si>
  <si>
    <t>Analyst press summaries</t>
  </si>
  <si>
    <t>See report Section 3.4 - used only to show the disagreement, not as an input</t>
  </si>
  <si>
    <t>Connect America 900,000+ subscribers</t>
  </si>
  <si>
    <t>Connect America corporate site</t>
  </si>
  <si>
    <t>https://www.connectamerica.com/about/</t>
  </si>
  <si>
    <t>NOT SOURCED - placeholders in this workbook</t>
  </si>
  <si>
    <t>Customer acquisition cost · Annual churn · Monitoring-centre cost per subscriber · Cellular wholesale rate ·</t>
  </si>
  <si>
    <t>Cloud and support cost · PCB assembly · Enclosure and strap · Packaging · Freight and duty · Warranty reserve ·</t>
  </si>
  <si>
    <t>Injection mould tooling · Device replacement cycle · Research and development and general and administrative expense ·</t>
  </si>
  <si>
    <t>The gross-add ramp · Component price curve with volume (BOM held flat at the qty-1,000 quote at all volumes) ·</t>
  </si>
  <si>
    <t>Gross adds multiplied by customer acquisition cost.</t>
  </si>
  <si>
    <t>Device replacement revenue (the 3-year cycle drives the SAM only, not the revenue build).</t>
  </si>
  <si>
    <t>None of these could be established from public data. All editable inputs are marked in blue on yellow.</t>
  </si>
  <si>
    <t>One-time certification and tooling</t>
  </si>
  <si>
    <t>FCC/ISED/CE, Bluetooth SIG qualification and mould tooling, all in year one.</t>
  </si>
  <si>
    <t>Total operating expense</t>
  </si>
  <si>
    <t>Cumulative EBITDA</t>
  </si>
  <si>
    <t>Excludes working capital, inventory build and capital expenditure. A financing plan needs all three added.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</si>
</sst>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7">
    <numFmt numFmtId="164" formatCode="#,##0;\(#,##0\);\-"/>
    <numFmt numFmtId="165" formatCode="\$#,##0.0000"/>
    <numFmt numFmtId="166" formatCode="0.0%"/>
    <numFmt numFmtId="167" formatCode="\$#,##0.00;&quot;($&quot;#,##0.00\);\-"/>
    <numFmt numFmtId="168" formatCode="\$#,##0;&quot;($&quot;#,##0\);\-"/>
    <numFmt numFmtId="169" formatCode="0.00\x"/>
    <numFmt numFmtId="170" formatCode="0.0"/>
  </numFmts>
  <fonts count="9">
    <font>
      <sz val="11.0"/>
      <color theme="1"/>
      <name val="Calibri"/>
      <scheme val="minor"/>
    </font>
    <font>
      <b/>
      <sz val="14.0"/>
      <color theme="1"/>
      <name val="Arial"/>
    </font>
    <font>
      <b/>
      <sz val="10.0"/>
      <color theme="1"/>
      <name val="Arial"/>
    </font>
    <font>
      <i/>
      <sz val="9.0"/>
      <color rgb="FF595959"/>
      <name val="Arial"/>
    </font>
    <font>
      <sz val="10.0"/>
      <color theme="1"/>
      <name val="Arial"/>
    </font>
    <font>
      <b/>
      <sz val="11.0"/>
      <color rgb="FFFFFFFF"/>
      <name val="Arial"/>
    </font>
    <font>
      <sz val="11.0"/>
      <color theme="1"/>
      <name val="Calibri"/>
    </font>
    <font>
      <sz val="10.0"/>
      <color rgb="FF0000FF"/>
      <name val="Arial"/>
    </font>
    <font>
      <sz val="10.0"/>
      <color rgb="FF008000"/>
      <name val="Arial"/>
    </font>
  </fonts>
  <fills count="5">
    <fill>
      <patternFill patternType="none"/>
    </fill>
    <fill>
      <patternFill patternType="lightGray"/>
    </fill>
    <fill>
      <patternFill patternType="solid">
        <fgColor rgb="FF1F3864"/>
        <bgColor rgb="FF1F3864"/>
      </patternFill>
    </fill>
    <fill>
      <patternFill patternType="solid">
        <fgColor rgb="FFFFFF00"/>
        <bgColor rgb="FFFFFF00"/>
      </patternFill>
    </fill>
    <fill>
      <patternFill patternType="solid">
        <fgColor rgb="FFD9E2F3"/>
        <bgColor rgb="FFD9E2F3"/>
      </patternFill>
    </fill>
  </fills>
  <borders count="3">
    <border/>
    <border>
      <left/>
      <right/>
      <top/>
      <bottom/>
    </border>
    <border>
      <bottom style="thin">
        <color rgb="FFBFBFBF"/>
      </bottom>
    </border>
  </borders>
  <cellStyleXfs count="1">
    <xf borderId="0" fillId="0" fontId="0" numFmtId="0" applyAlignment="1" applyFont="1"/>
  </cellStyleXfs>
  <cellXfs count="45">
    <xf borderId="0" fillId="0" fontId="0" numFmtId="0" xfId="0" applyAlignment="1" applyFont="1">
      <alignment readingOrder="0" shrinkToFit="0" vertical="bottom" wrapText="0"/>
    </xf>
    <xf borderId="0" fillId="0" fontId="1" numFmtId="0" xfId="0" applyAlignment="1" applyFont="1">
      <alignment readingOrder="0" shrinkToFit="0" vertical="bottom" wrapText="0"/>
    </xf>
    <xf borderId="0" fillId="0" fontId="1" numFmtId="0" xfId="0" applyAlignment="1" applyFont="1">
      <alignment shrinkToFit="0" vertical="bottom" wrapText="0"/>
    </xf>
    <xf borderId="0" fillId="0" fontId="2" numFmtId="0" xfId="0" applyAlignment="1" applyFont="1">
      <alignment readingOrder="0" shrinkToFit="0" vertical="bottom" wrapText="0"/>
    </xf>
    <xf borderId="0" fillId="0" fontId="3" numFmtId="0" xfId="0" applyAlignment="1" applyFont="1">
      <alignment shrinkToFit="0" vertical="bottom" wrapText="0"/>
    </xf>
    <xf borderId="0" fillId="0" fontId="4" numFmtId="0" xfId="0" applyAlignment="1" applyFont="1">
      <alignment shrinkToFit="0" vertical="bottom" wrapText="0"/>
    </xf>
    <xf borderId="1" fillId="2" fontId="5" numFmtId="0" xfId="0" applyAlignment="1" applyBorder="1" applyFill="1" applyFont="1">
      <alignment readingOrder="0" shrinkToFit="0" vertical="bottom" wrapText="0"/>
    </xf>
    <xf borderId="1" fillId="2" fontId="5" numFmtId="0" xfId="0" applyAlignment="1" applyBorder="1" applyFill="1" applyFont="1">
      <alignment shrinkToFit="0" vertical="bottom" wrapText="0"/>
    </xf>
    <xf borderId="1" fillId="2" fontId="6" numFmtId="0" xfId="0" applyAlignment="1" applyBorder="1" applyFill="1" applyFont="1">
      <alignment shrinkToFit="0" vertical="bottom" wrapText="0"/>
    </xf>
    <xf borderId="0" fillId="0" fontId="2" numFmtId="0" xfId="0" applyAlignment="1" applyFont="1">
      <alignment shrinkToFit="0" vertical="bottom" wrapText="0"/>
    </xf>
    <xf borderId="2" fillId="0" fontId="2" numFmtId="0" xfId="0" applyAlignment="1" applyBorder="1" applyFont="1">
      <alignment shrinkToFit="0" vertical="bottom" wrapText="0"/>
    </xf>
    <xf borderId="1" fillId="3" fontId="7" numFmtId="164" xfId="0" applyAlignment="1" applyBorder="1" applyFill="1" applyFont="1" applyNumberFormat="1">
      <alignment shrinkToFit="0" vertical="bottom" wrapText="0"/>
    </xf>
    <xf borderId="0" fillId="0" fontId="7" numFmtId="164" xfId="0" applyAlignment="1" applyFont="1" applyNumberFormat="1">
      <alignment shrinkToFit="0" vertical="bottom" wrapText="0"/>
    </xf>
    <xf borderId="0" fillId="0" fontId="7" numFmtId="165" xfId="0" applyAlignment="1" applyFont="1" applyNumberFormat="1">
      <alignment shrinkToFit="0" vertical="bottom" wrapText="0"/>
    </xf>
    <xf borderId="1" fillId="3" fontId="7" numFmtId="166" xfId="0" applyAlignment="1" applyBorder="1" applyFill="1" applyFont="1" applyNumberFormat="1">
      <alignment shrinkToFit="0" vertical="bottom" wrapText="0"/>
    </xf>
    <xf borderId="0" fillId="0" fontId="8" numFmtId="164" xfId="0" applyAlignment="1" applyFont="1" applyNumberFormat="1">
      <alignment shrinkToFit="0" vertical="bottom" wrapText="0"/>
    </xf>
    <xf borderId="1" fillId="3" fontId="7" numFmtId="167" xfId="0" applyAlignment="1" applyBorder="1" applyFill="1" applyFont="1" applyNumberFormat="1">
      <alignment shrinkToFit="0" vertical="bottom" wrapText="0"/>
    </xf>
    <xf borderId="0" fillId="0" fontId="4" numFmtId="165" xfId="0" applyAlignment="1" applyFont="1" applyNumberFormat="1">
      <alignment shrinkToFit="0" vertical="bottom" wrapText="0"/>
    </xf>
    <xf borderId="0" fillId="0" fontId="4" numFmtId="167" xfId="0" applyAlignment="1" applyFont="1" applyNumberFormat="1">
      <alignment shrinkToFit="0" vertical="bottom" wrapText="0"/>
    </xf>
    <xf borderId="0" fillId="0" fontId="2" numFmtId="168" xfId="0" applyAlignment="1" applyFont="1" applyNumberFormat="1">
      <alignment shrinkToFit="0" vertical="bottom" wrapText="0"/>
    </xf>
    <xf borderId="0" fillId="0" fontId="4" numFmtId="164" xfId="0" applyAlignment="1" applyFont="1" applyNumberFormat="1">
      <alignment shrinkToFit="0" vertical="bottom" wrapText="0"/>
    </xf>
    <xf borderId="0" fillId="0" fontId="3" numFmtId="0" xfId="0" applyAlignment="1" applyFont="1">
      <alignment readingOrder="0" shrinkToFit="0" vertical="bottom" wrapText="0"/>
    </xf>
    <xf borderId="0" fillId="0" fontId="2" numFmtId="0" xfId="0" applyAlignment="1" applyFont="1">
      <alignment horizontal="center" shrinkToFit="0" vertical="bottom" wrapText="0"/>
    </xf>
    <xf borderId="1" fillId="3" fontId="7" numFmtId="168" xfId="0" applyAlignment="1" applyBorder="1" applyFill="1" applyFont="1" applyNumberFormat="1">
      <alignment shrinkToFit="0" vertical="bottom" wrapText="0"/>
    </xf>
    <xf borderId="0" fillId="0" fontId="8" numFmtId="168" xfId="0" applyAlignment="1" applyFont="1" applyNumberFormat="1">
      <alignment shrinkToFit="0" vertical="bottom" wrapText="0"/>
    </xf>
    <xf borderId="0" fillId="0" fontId="2" numFmtId="167" xfId="0" applyAlignment="1" applyFont="1" applyNumberFormat="1">
      <alignment shrinkToFit="0" vertical="bottom" wrapText="0"/>
    </xf>
    <xf borderId="0" fillId="0" fontId="4" numFmtId="0" xfId="0" applyAlignment="1" applyFont="1">
      <alignment readingOrder="0" shrinkToFit="0" vertical="bottom" wrapText="0"/>
    </xf>
    <xf borderId="0" fillId="0" fontId="2" numFmtId="10" xfId="0" applyAlignment="1" applyFont="1" applyNumberFormat="1">
      <alignment shrinkToFit="0" vertical="bottom" wrapText="0"/>
    </xf>
    <xf borderId="1" fillId="3" fontId="7" numFmtId="165" xfId="0" applyAlignment="1" applyBorder="1" applyFill="1" applyFont="1" applyNumberFormat="1">
      <alignment shrinkToFit="0" vertical="bottom" wrapText="0"/>
    </xf>
    <xf borderId="1" fillId="4" fontId="2" numFmtId="0" xfId="0" applyAlignment="1" applyBorder="1" applyFill="1" applyFont="1">
      <alignment shrinkToFit="0" vertical="bottom" wrapText="0"/>
    </xf>
    <xf borderId="1" fillId="4" fontId="6" numFmtId="0" xfId="0" applyAlignment="1" applyBorder="1" applyFill="1" applyFont="1">
      <alignment shrinkToFit="0" vertical="bottom" wrapText="0"/>
    </xf>
    <xf borderId="2" fillId="0" fontId="2" numFmtId="0" xfId="0" applyAlignment="1" applyBorder="1" applyFont="1">
      <alignment horizontal="center" shrinkToFit="0" vertical="bottom" wrapText="0"/>
    </xf>
    <xf borderId="0" fillId="0" fontId="7" numFmtId="167" xfId="0" applyAlignment="1" applyFont="1" applyNumberFormat="1">
      <alignment shrinkToFit="0" vertical="bottom" wrapText="0"/>
    </xf>
    <xf borderId="0" fillId="0" fontId="2" numFmtId="166" xfId="0" applyAlignment="1" applyFont="1" applyNumberFormat="1">
      <alignment shrinkToFit="0" vertical="bottom" wrapText="0"/>
    </xf>
    <xf borderId="0" fillId="0" fontId="8" numFmtId="167" xfId="0" applyAlignment="1" applyFont="1" applyNumberFormat="1">
      <alignment shrinkToFit="0" vertical="bottom" wrapText="0"/>
    </xf>
    <xf borderId="0" fillId="0" fontId="2" numFmtId="164" xfId="0" applyAlignment="1" applyFont="1" applyNumberFormat="1">
      <alignment shrinkToFit="0" vertical="bottom" wrapText="0"/>
    </xf>
    <xf borderId="0" fillId="0" fontId="4" numFmtId="168" xfId="0" applyAlignment="1" applyFont="1" applyNumberFormat="1">
      <alignment shrinkToFit="0" vertical="bottom" wrapText="0"/>
    </xf>
    <xf borderId="0" fillId="0" fontId="8" numFmtId="0" xfId="0" applyAlignment="1" applyFont="1">
      <alignment shrinkToFit="0" vertical="bottom" wrapText="0"/>
    </xf>
    <xf borderId="0" fillId="0" fontId="7" numFmtId="166" xfId="0" applyAlignment="1" applyFont="1" applyNumberFormat="1">
      <alignment shrinkToFit="0" vertical="bottom" wrapText="0"/>
    </xf>
    <xf borderId="0" fillId="0" fontId="8" numFmtId="166" xfId="0" applyAlignment="1" applyFont="1" applyNumberFormat="1">
      <alignment shrinkToFit="0" vertical="bottom" wrapText="0"/>
    </xf>
    <xf borderId="0" fillId="0" fontId="4" numFmtId="166" xfId="0" applyAlignment="1" applyFont="1" applyNumberFormat="1">
      <alignment shrinkToFit="0" vertical="bottom" wrapText="0"/>
    </xf>
    <xf borderId="0" fillId="0" fontId="8" numFmtId="169" xfId="0" applyAlignment="1" applyFont="1" applyNumberFormat="1">
      <alignment shrinkToFit="0" vertical="bottom" wrapText="0"/>
    </xf>
    <xf borderId="0" fillId="0" fontId="4" numFmtId="170" xfId="0" applyAlignment="1" applyFont="1" applyNumberFormat="1">
      <alignment shrinkToFit="0" vertical="bottom" wrapText="0"/>
    </xf>
    <xf borderId="0" fillId="0" fontId="4" numFmtId="169" xfId="0" applyAlignment="1" applyFont="1" applyNumberFormat="1">
      <alignment shrinkToFit="0" vertical="bottom" wrapText="0"/>
    </xf>
    <xf borderId="0" fillId="0" fontId="2" numFmtId="169" xfId="0" applyAlignment="1" applyFont="1" applyNumberFormat="1">
      <alignment shrinkToFit="0" vertical="bottom" wrapText="0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11" Type="http://schemas.openxmlformats.org/officeDocument/2006/relationships/worksheet" Target="worksheets/sheet8.xml"/><Relationship Id="rId10" Type="http://schemas.openxmlformats.org/officeDocument/2006/relationships/worksheet" Target="worksheets/sheet7.xml"/><Relationship Id="rId12" Type="http://customschemas.google.com/relationships/workbookmetadata" Target="metadata"/><Relationship Id="rId9" Type="http://schemas.openxmlformats.org/officeDocument/2006/relationships/worksheet" Target="worksheets/sheet6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3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4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5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6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7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8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6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7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7.xml"/></Relationships>
</file>

<file path=xl/worksheets/_rels/sheet8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8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showGridLines="0" workbookViewId="0"/>
  </sheetViews>
  <sheetFormatPr customHeight="1" defaultColWidth="14.43" defaultRowHeight="15.0"/>
  <cols>
    <col customWidth="1" min="1" max="1" width="110.0"/>
    <col customWidth="1" min="2" max="26" width="8.71"/>
  </cols>
  <sheetData>
    <row r="1">
      <c r="A1" s="1" t="s">
        <v>0</v>
      </c>
    </row>
    <row r="2">
      <c r="A2" s="3" t="s">
        <v>3</v>
      </c>
    </row>
    <row r="3">
      <c r="A3" s="4" t="s">
        <v>5</v>
      </c>
    </row>
    <row r="4">
      <c r="A4" s="5"/>
    </row>
    <row r="5">
      <c r="A5" s="9" t="s">
        <v>11</v>
      </c>
    </row>
    <row r="6">
      <c r="A6" s="5" t="s">
        <v>13</v>
      </c>
    </row>
    <row r="7">
      <c r="A7" s="5" t="s">
        <v>14</v>
      </c>
    </row>
    <row r="8">
      <c r="A8" s="5" t="s">
        <v>16</v>
      </c>
    </row>
    <row r="9">
      <c r="A9" s="5"/>
    </row>
    <row r="10">
      <c r="A10" s="9" t="s">
        <v>18</v>
      </c>
    </row>
    <row r="11">
      <c r="A11" s="5" t="s">
        <v>19</v>
      </c>
    </row>
    <row r="12">
      <c r="A12" s="5" t="s">
        <v>20</v>
      </c>
    </row>
    <row r="13">
      <c r="A13" s="5" t="s">
        <v>23</v>
      </c>
    </row>
    <row r="14">
      <c r="A14" s="5" t="s">
        <v>26</v>
      </c>
    </row>
    <row r="15">
      <c r="A15" s="5" t="s">
        <v>29</v>
      </c>
    </row>
    <row r="16">
      <c r="A16" s="5" t="s">
        <v>31</v>
      </c>
    </row>
    <row r="17">
      <c r="A17" s="5" t="s">
        <v>34</v>
      </c>
    </row>
    <row r="18">
      <c r="A18" s="5"/>
    </row>
    <row r="19">
      <c r="A19" s="9" t="s">
        <v>36</v>
      </c>
    </row>
    <row r="20">
      <c r="A20" s="5" t="s">
        <v>37</v>
      </c>
    </row>
    <row r="21" ht="15.75" customHeight="1">
      <c r="A21" s="5" t="s">
        <v>38</v>
      </c>
    </row>
    <row r="22" ht="15.75" customHeight="1">
      <c r="A22" s="5" t="s">
        <v>39</v>
      </c>
    </row>
    <row r="23" ht="15.75" customHeight="1">
      <c r="A23" s="5" t="s">
        <v>41</v>
      </c>
    </row>
    <row r="24" ht="15.75" customHeight="1">
      <c r="A24" s="5"/>
    </row>
    <row r="25" ht="15.75" customHeight="1">
      <c r="A25" s="9" t="s">
        <v>43</v>
      </c>
    </row>
    <row r="26" ht="15.75" customHeight="1">
      <c r="A26" s="5" t="s">
        <v>46</v>
      </c>
    </row>
    <row r="27" ht="15.75" customHeight="1">
      <c r="A27" s="5" t="s">
        <v>48</v>
      </c>
    </row>
    <row r="28" ht="15.75" customHeight="1">
      <c r="A28" s="5" t="s">
        <v>50</v>
      </c>
    </row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printOptions/>
  <pageMargins bottom="1.0" footer="0.0" header="0.0" left="0.75" right="0.75" top="1.0"/>
  <pageSetup paperSize="9" orientation="portrait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showGridLines="0" workbookViewId="0">
      <pane ySplit="3.0" topLeftCell="A4" activePane="bottomLeft" state="frozen"/>
      <selection activeCell="B5" sqref="B5" pane="bottomLeft"/>
    </sheetView>
  </sheetViews>
  <sheetFormatPr customHeight="1" defaultColWidth="14.43" defaultRowHeight="15.0"/>
  <cols>
    <col customWidth="1" min="1" max="1" width="52.0"/>
    <col customWidth="1" min="2" max="2" width="16.0"/>
    <col customWidth="1" min="3" max="3" width="14.0"/>
    <col customWidth="1" min="4" max="4" width="78.0"/>
    <col customWidth="1" min="5" max="26" width="8.71"/>
  </cols>
  <sheetData>
    <row r="1">
      <c r="A1" s="2" t="s">
        <v>2</v>
      </c>
    </row>
    <row r="2">
      <c r="A2" s="4" t="s">
        <v>6</v>
      </c>
    </row>
    <row r="4">
      <c r="A4" s="7" t="s">
        <v>10</v>
      </c>
      <c r="B4" s="8"/>
      <c r="C4" s="8"/>
      <c r="D4" s="8"/>
      <c r="E4" s="8"/>
      <c r="F4" s="8"/>
      <c r="G4" s="8"/>
      <c r="H4" s="8"/>
    </row>
    <row r="5">
      <c r="A5" s="5" t="s">
        <v>15</v>
      </c>
      <c r="B5" s="11">
        <v>6.12E7</v>
      </c>
      <c r="C5" s="4" t="s">
        <v>30</v>
      </c>
      <c r="D5" s="4" t="s">
        <v>33</v>
      </c>
    </row>
    <row r="6">
      <c r="A6" s="5" t="s">
        <v>35</v>
      </c>
      <c r="B6" s="14">
        <v>0.26</v>
      </c>
      <c r="C6" s="4" t="s">
        <v>40</v>
      </c>
      <c r="D6" s="4" t="s">
        <v>42</v>
      </c>
    </row>
    <row r="7">
      <c r="A7" s="5" t="s">
        <v>45</v>
      </c>
      <c r="B7" s="14">
        <v>0.36</v>
      </c>
      <c r="C7" s="4" t="s">
        <v>47</v>
      </c>
      <c r="D7" s="4" t="s">
        <v>49</v>
      </c>
    </row>
    <row r="8">
      <c r="A8" s="5" t="s">
        <v>51</v>
      </c>
      <c r="B8" s="14">
        <v>0.09</v>
      </c>
      <c r="C8" s="4" t="s">
        <v>40</v>
      </c>
      <c r="D8" s="4" t="s">
        <v>52</v>
      </c>
    </row>
    <row r="9">
      <c r="A9" s="5" t="s">
        <v>53</v>
      </c>
      <c r="B9" s="16">
        <v>39.0</v>
      </c>
      <c r="C9" s="4" t="s">
        <v>54</v>
      </c>
      <c r="D9" s="4" t="s">
        <v>55</v>
      </c>
    </row>
    <row r="11">
      <c r="A11" s="7" t="s">
        <v>56</v>
      </c>
      <c r="B11" s="8"/>
      <c r="C11" s="8"/>
      <c r="D11" s="8"/>
      <c r="E11" s="8"/>
      <c r="F11" s="8"/>
      <c r="G11" s="8"/>
      <c r="H11" s="8"/>
    </row>
    <row r="12">
      <c r="A12" s="5" t="s">
        <v>57</v>
      </c>
      <c r="B12" s="16">
        <v>199.0</v>
      </c>
      <c r="C12" s="4" t="s">
        <v>58</v>
      </c>
      <c r="D12" s="4" t="s">
        <v>59</v>
      </c>
    </row>
    <row r="13">
      <c r="A13" s="5" t="s">
        <v>61</v>
      </c>
      <c r="B13" s="16">
        <v>34.95</v>
      </c>
      <c r="C13" s="4" t="s">
        <v>54</v>
      </c>
      <c r="D13" s="4" t="s">
        <v>64</v>
      </c>
    </row>
    <row r="14">
      <c r="A14" s="5" t="s">
        <v>65</v>
      </c>
      <c r="B14" s="11">
        <v>3.0</v>
      </c>
      <c r="C14" s="4" t="s">
        <v>66</v>
      </c>
      <c r="D14" s="4" t="s">
        <v>67</v>
      </c>
    </row>
    <row r="16">
      <c r="A16" s="7" t="s">
        <v>70</v>
      </c>
      <c r="B16" s="8"/>
      <c r="C16" s="8"/>
      <c r="D16" s="8"/>
      <c r="E16" s="8"/>
      <c r="F16" s="8"/>
      <c r="G16" s="8"/>
      <c r="H16" s="8"/>
    </row>
    <row r="17">
      <c r="A17" s="5" t="s">
        <v>72</v>
      </c>
      <c r="B17" s="16">
        <v>13.28</v>
      </c>
      <c r="C17" s="4" t="s">
        <v>73</v>
      </c>
      <c r="D17" s="4" t="s">
        <v>75</v>
      </c>
    </row>
    <row r="18">
      <c r="A18" s="5" t="s">
        <v>77</v>
      </c>
      <c r="B18" s="16">
        <v>4.5</v>
      </c>
      <c r="C18" s="4" t="s">
        <v>73</v>
      </c>
      <c r="D18" s="4" t="s">
        <v>78</v>
      </c>
    </row>
    <row r="19">
      <c r="A19" s="5" t="s">
        <v>80</v>
      </c>
      <c r="B19" s="16">
        <v>6.0</v>
      </c>
      <c r="C19" s="4" t="s">
        <v>73</v>
      </c>
      <c r="D19" s="4" t="s">
        <v>81</v>
      </c>
    </row>
    <row r="20">
      <c r="A20" s="5" t="s">
        <v>85</v>
      </c>
      <c r="B20" s="16">
        <v>1.5</v>
      </c>
      <c r="C20" s="4" t="s">
        <v>73</v>
      </c>
      <c r="D20" s="4" t="s">
        <v>86</v>
      </c>
    </row>
    <row r="21" ht="15.75" customHeight="1">
      <c r="A21" s="5" t="s">
        <v>88</v>
      </c>
      <c r="B21" s="16">
        <v>2.0</v>
      </c>
      <c r="C21" s="4" t="s">
        <v>73</v>
      </c>
      <c r="D21" s="4" t="s">
        <v>89</v>
      </c>
    </row>
    <row r="22" ht="15.75" customHeight="1">
      <c r="A22" s="5" t="s">
        <v>90</v>
      </c>
      <c r="B22" s="14">
        <v>0.05</v>
      </c>
      <c r="C22" s="4" t="s">
        <v>92</v>
      </c>
      <c r="D22" s="4" t="s">
        <v>93</v>
      </c>
    </row>
    <row r="23" ht="15.75" customHeight="1"/>
    <row r="24" ht="15.75" customHeight="1">
      <c r="A24" s="7" t="s">
        <v>94</v>
      </c>
      <c r="B24" s="8"/>
      <c r="C24" s="8"/>
      <c r="D24" s="8"/>
      <c r="E24" s="8"/>
      <c r="F24" s="8"/>
      <c r="G24" s="8"/>
      <c r="H24" s="8"/>
    </row>
    <row r="25" ht="15.75" customHeight="1">
      <c r="A25" s="5" t="s">
        <v>99</v>
      </c>
      <c r="B25" s="16">
        <v>4.0</v>
      </c>
      <c r="C25" s="4" t="s">
        <v>100</v>
      </c>
      <c r="D25" s="4" t="s">
        <v>101</v>
      </c>
    </row>
    <row r="26" ht="15.75" customHeight="1">
      <c r="A26" s="5" t="s">
        <v>102</v>
      </c>
      <c r="B26" s="16">
        <v>6.0</v>
      </c>
      <c r="C26" s="4" t="s">
        <v>100</v>
      </c>
      <c r="D26" s="4" t="s">
        <v>104</v>
      </c>
    </row>
    <row r="27" ht="15.75" customHeight="1">
      <c r="A27" s="5" t="s">
        <v>105</v>
      </c>
      <c r="B27" s="16">
        <v>0.75</v>
      </c>
      <c r="C27" s="4" t="s">
        <v>100</v>
      </c>
      <c r="D27" s="4" t="s">
        <v>86</v>
      </c>
    </row>
    <row r="28" ht="15.75" customHeight="1">
      <c r="A28" s="5" t="s">
        <v>106</v>
      </c>
      <c r="B28" s="14">
        <v>0.03</v>
      </c>
      <c r="C28" s="4" t="s">
        <v>108</v>
      </c>
      <c r="D28" s="4" t="s">
        <v>109</v>
      </c>
    </row>
    <row r="29" ht="15.75" customHeight="1"/>
    <row r="30" ht="15.75" customHeight="1">
      <c r="A30" s="7" t="s">
        <v>111</v>
      </c>
      <c r="B30" s="8"/>
      <c r="C30" s="8"/>
      <c r="D30" s="8"/>
      <c r="E30" s="8"/>
      <c r="F30" s="8"/>
      <c r="G30" s="8"/>
      <c r="H30" s="8"/>
    </row>
    <row r="31" ht="15.75" customHeight="1">
      <c r="A31" s="5" t="s">
        <v>114</v>
      </c>
      <c r="B31" s="16">
        <v>250.0</v>
      </c>
      <c r="C31" s="4" t="s">
        <v>115</v>
      </c>
      <c r="D31" s="4" t="s">
        <v>116</v>
      </c>
    </row>
    <row r="32" ht="15.75" customHeight="1">
      <c r="A32" s="5" t="s">
        <v>117</v>
      </c>
      <c r="B32" s="14">
        <v>0.22</v>
      </c>
      <c r="C32" s="4" t="s">
        <v>121</v>
      </c>
      <c r="D32" s="4" t="s">
        <v>122</v>
      </c>
    </row>
    <row r="33" ht="15.75" customHeight="1"/>
    <row r="34" ht="15.75" customHeight="1">
      <c r="A34" s="7" t="s">
        <v>123</v>
      </c>
      <c r="B34" s="8"/>
      <c r="C34" s="8"/>
      <c r="D34" s="8"/>
      <c r="E34" s="8"/>
      <c r="F34" s="8"/>
      <c r="G34" s="8"/>
      <c r="H34" s="8"/>
    </row>
    <row r="35" ht="15.75" customHeight="1">
      <c r="A35" s="9" t="s">
        <v>126</v>
      </c>
      <c r="B35" s="22" t="s">
        <v>127</v>
      </c>
      <c r="C35" s="22" t="s">
        <v>128</v>
      </c>
      <c r="D35" s="22" t="s">
        <v>129</v>
      </c>
      <c r="E35" s="22" t="s">
        <v>131</v>
      </c>
      <c r="F35" s="22" t="s">
        <v>132</v>
      </c>
    </row>
    <row r="36" ht="15.75" customHeight="1">
      <c r="A36" s="5" t="s">
        <v>133</v>
      </c>
      <c r="B36" s="11">
        <v>1200.0</v>
      </c>
      <c r="C36" s="11">
        <v>4500.0</v>
      </c>
      <c r="D36" s="11">
        <v>11000.0</v>
      </c>
      <c r="E36" s="11">
        <v>22000.0</v>
      </c>
      <c r="F36" s="11">
        <v>36000.0</v>
      </c>
    </row>
    <row r="37" ht="15.75" customHeight="1">
      <c r="A37" s="4" t="s">
        <v>136</v>
      </c>
    </row>
    <row r="38" ht="15.75" customHeight="1"/>
    <row r="39" ht="15.75" customHeight="1">
      <c r="A39" s="7" t="s">
        <v>138</v>
      </c>
      <c r="B39" s="8"/>
      <c r="C39" s="8"/>
      <c r="D39" s="8"/>
      <c r="E39" s="8"/>
      <c r="F39" s="8"/>
      <c r="G39" s="8"/>
      <c r="H39" s="8"/>
    </row>
    <row r="40" ht="15.75" customHeight="1">
      <c r="A40" s="5" t="s">
        <v>139</v>
      </c>
      <c r="B40" s="16">
        <v>12200.0</v>
      </c>
      <c r="C40" s="4" t="s">
        <v>58</v>
      </c>
      <c r="D40" s="4" t="s">
        <v>141</v>
      </c>
    </row>
    <row r="41" ht="15.75" customHeight="1">
      <c r="A41" s="5" t="s">
        <v>143</v>
      </c>
      <c r="B41" s="16">
        <v>12000.0</v>
      </c>
      <c r="C41" s="4" t="s">
        <v>58</v>
      </c>
      <c r="D41" s="4" t="s">
        <v>145</v>
      </c>
    </row>
    <row r="42" ht="15.75" customHeight="1">
      <c r="A42" s="5" t="s">
        <v>146</v>
      </c>
      <c r="B42" s="16">
        <v>45000.0</v>
      </c>
      <c r="C42" s="4" t="s">
        <v>58</v>
      </c>
      <c r="D42" s="4" t="s">
        <v>86</v>
      </c>
    </row>
    <row r="43" ht="15.75" customHeight="1"/>
    <row r="44" ht="15.75" customHeight="1">
      <c r="A44" s="7" t="s">
        <v>148</v>
      </c>
      <c r="B44" s="8"/>
      <c r="C44" s="8"/>
      <c r="D44" s="8"/>
      <c r="E44" s="8"/>
      <c r="F44" s="8"/>
      <c r="G44" s="8"/>
      <c r="H44" s="8"/>
    </row>
    <row r="45" ht="15.75" customHeight="1">
      <c r="A45" s="9" t="s">
        <v>126</v>
      </c>
      <c r="B45" s="22" t="s">
        <v>127</v>
      </c>
      <c r="C45" s="22" t="s">
        <v>128</v>
      </c>
      <c r="D45" s="22" t="s">
        <v>129</v>
      </c>
      <c r="E45" s="22" t="s">
        <v>131</v>
      </c>
      <c r="F45" s="22" t="s">
        <v>132</v>
      </c>
    </row>
    <row r="46" ht="15.75" customHeight="1">
      <c r="A46" s="5" t="s">
        <v>151</v>
      </c>
      <c r="B46" s="23">
        <v>180000.0</v>
      </c>
      <c r="C46" s="23">
        <v>220000.0</v>
      </c>
      <c r="D46" s="23">
        <v>260000.0</v>
      </c>
      <c r="E46" s="23">
        <v>300000.0</v>
      </c>
      <c r="F46" s="23">
        <v>340000.0</v>
      </c>
    </row>
    <row r="47" ht="15.75" customHeight="1">
      <c r="A47" s="5" t="s">
        <v>152</v>
      </c>
      <c r="B47" s="23">
        <v>90000.0</v>
      </c>
      <c r="C47" s="23">
        <v>140000.0</v>
      </c>
      <c r="D47" s="23">
        <v>220000.0</v>
      </c>
      <c r="E47" s="23">
        <v>320000.0</v>
      </c>
      <c r="F47" s="23">
        <v>420000.0</v>
      </c>
    </row>
    <row r="48" ht="15.75" customHeight="1">
      <c r="A48" s="4" t="s">
        <v>154</v>
      </c>
    </row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printOptions/>
  <pageMargins bottom="1.0" footer="0.0" header="0.0" left="0.75" right="0.75" top="1.0"/>
  <pageSetup paperSize="9" orientation="portrait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showGridLines="0" workbookViewId="0">
      <pane ySplit="3.0" topLeftCell="A4" activePane="bottomLeft" state="frozen"/>
      <selection activeCell="B5" sqref="B5" pane="bottomLeft"/>
    </sheetView>
  </sheetViews>
  <sheetFormatPr customHeight="1" defaultColWidth="14.43" defaultRowHeight="15.0"/>
  <cols>
    <col customWidth="1" min="1" max="1" width="58.0"/>
    <col customWidth="1" min="2" max="2" width="20.0"/>
    <col customWidth="1" min="3" max="3" width="16.0"/>
    <col customWidth="1" min="4" max="4" width="74.0"/>
    <col customWidth="1" min="5" max="26" width="8.71"/>
  </cols>
  <sheetData>
    <row r="1">
      <c r="A1" s="1" t="s">
        <v>1</v>
      </c>
    </row>
    <row r="2">
      <c r="A2" s="4" t="s">
        <v>4</v>
      </c>
    </row>
    <row r="4">
      <c r="A4" s="6" t="s">
        <v>8</v>
      </c>
      <c r="B4" s="8"/>
      <c r="C4" s="8"/>
      <c r="D4" s="8"/>
      <c r="E4" s="8"/>
      <c r="F4" s="8"/>
      <c r="G4" s="8"/>
      <c r="H4" s="8"/>
    </row>
    <row r="5">
      <c r="A5" s="5" t="s">
        <v>15</v>
      </c>
      <c r="B5" s="15">
        <f>Assumptions!$B$5</f>
        <v>61200000</v>
      </c>
    </row>
    <row r="6">
      <c r="A6" s="5" t="s">
        <v>44</v>
      </c>
      <c r="B6" s="18">
        <f>Assumptions!$B$9*12</f>
        <v>468</v>
      </c>
    </row>
    <row r="7">
      <c r="A7" s="9" t="s">
        <v>63</v>
      </c>
      <c r="B7" s="19">
        <f>B5*B6</f>
        <v>28641600000</v>
      </c>
      <c r="D7" s="4" t="s">
        <v>71</v>
      </c>
    </row>
    <row r="9">
      <c r="A9" s="6" t="s">
        <v>74</v>
      </c>
      <c r="B9" s="8"/>
      <c r="C9" s="8"/>
      <c r="D9" s="8"/>
      <c r="E9" s="8"/>
      <c r="F9" s="8"/>
      <c r="G9" s="8"/>
      <c r="H9" s="8"/>
    </row>
    <row r="10">
      <c r="A10" s="5" t="s">
        <v>79</v>
      </c>
      <c r="B10" s="20">
        <f>Assumptions!$B$5*Assumptions!$B$8</f>
        <v>5508000</v>
      </c>
    </row>
    <row r="11">
      <c r="A11" s="9" t="s">
        <v>87</v>
      </c>
      <c r="B11" s="19">
        <f>B10*Assumptions!$B$9*12</f>
        <v>2577744000</v>
      </c>
      <c r="D11" s="4" t="s">
        <v>95</v>
      </c>
    </row>
    <row r="13">
      <c r="A13" s="6" t="s">
        <v>97</v>
      </c>
      <c r="B13" s="8"/>
      <c r="C13" s="8"/>
      <c r="D13" s="8"/>
      <c r="E13" s="8"/>
      <c r="F13" s="8"/>
      <c r="G13" s="8"/>
      <c r="H13" s="8"/>
    </row>
    <row r="14">
      <c r="A14" s="5" t="s">
        <v>98</v>
      </c>
      <c r="B14" s="20">
        <f>Assumptions!$B$5*Assumptions!$B$6</f>
        <v>15912000</v>
      </c>
      <c r="D14" s="21" t="s">
        <v>110</v>
      </c>
    </row>
    <row r="15">
      <c r="A15" s="5" t="s">
        <v>112</v>
      </c>
      <c r="B15" s="20">
        <f>B14*Assumptions!$B$7</f>
        <v>5728320</v>
      </c>
      <c r="D15" s="4" t="s">
        <v>119</v>
      </c>
    </row>
    <row r="16">
      <c r="A16" s="5" t="s">
        <v>120</v>
      </c>
      <c r="B16" s="18">
        <f>Assumptions!$B$13*12+Assumptions!$B$12/Assumptions!$B$14</f>
        <v>485.7333333</v>
      </c>
      <c r="D16" s="4" t="s">
        <v>134</v>
      </c>
    </row>
    <row r="17">
      <c r="A17" s="9" t="s">
        <v>135</v>
      </c>
      <c r="B17" s="19">
        <f>B15*B16</f>
        <v>2782435968</v>
      </c>
    </row>
    <row r="19">
      <c r="A19" s="6" t="s">
        <v>140</v>
      </c>
      <c r="B19" s="8"/>
      <c r="C19" s="8"/>
      <c r="D19" s="8"/>
      <c r="E19" s="8"/>
      <c r="F19" s="8"/>
      <c r="G19" s="8"/>
      <c r="H19" s="8"/>
    </row>
    <row r="20">
      <c r="A20" s="5" t="s">
        <v>144</v>
      </c>
      <c r="B20" s="15">
        <f>'Revenue Build'!F9</f>
        <v>55564.53756</v>
      </c>
    </row>
    <row r="21" ht="15.75" customHeight="1">
      <c r="A21" s="5" t="s">
        <v>149</v>
      </c>
      <c r="B21" s="24">
        <f>'Revenue Build'!F15</f>
        <v>25140364.97</v>
      </c>
    </row>
    <row r="22" ht="15.75" customHeight="1">
      <c r="A22" s="9" t="s">
        <v>153</v>
      </c>
      <c r="B22" s="27">
        <f>B21/B17</f>
        <v>0.009035379523</v>
      </c>
      <c r="D22" s="21" t="s">
        <v>156</v>
      </c>
    </row>
    <row r="23" ht="15.75" customHeight="1"/>
    <row r="24" ht="15.75" customHeight="1">
      <c r="A24" s="29" t="s">
        <v>157</v>
      </c>
      <c r="B24" s="30"/>
      <c r="C24" s="30"/>
      <c r="D24" s="30"/>
      <c r="E24" s="30"/>
      <c r="F24" s="30"/>
      <c r="G24" s="30"/>
      <c r="H24" s="30"/>
    </row>
    <row r="25" ht="15.75" customHeight="1">
      <c r="A25" s="4" t="s">
        <v>158</v>
      </c>
    </row>
    <row r="26" ht="15.75" customHeight="1">
      <c r="A26" s="4" t="s">
        <v>160</v>
      </c>
    </row>
    <row r="27" ht="15.75" customHeight="1">
      <c r="A27" s="4" t="s">
        <v>161</v>
      </c>
    </row>
    <row r="28" ht="15.75" customHeight="1">
      <c r="A28" s="4" t="s">
        <v>164</v>
      </c>
    </row>
    <row r="29" ht="15.75" customHeight="1">
      <c r="A29" s="4" t="s">
        <v>166</v>
      </c>
    </row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printOptions/>
  <pageMargins bottom="1.0" footer="0.0" header="0.0" left="0.75" right="0.75" top="1.0"/>
  <pageSetup paperSize="9" orientation="portrait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showGridLines="0" workbookViewId="0">
      <pane ySplit="3.0" topLeftCell="A4" activePane="bottomLeft" state="frozen"/>
      <selection activeCell="B5" sqref="B5" pane="bottomLeft"/>
    </sheetView>
  </sheetViews>
  <sheetFormatPr customHeight="1" defaultColWidth="14.43" defaultRowHeight="15.0"/>
  <cols>
    <col customWidth="1" min="1" max="1" width="46.0"/>
    <col customWidth="1" min="2" max="2" width="10.0"/>
    <col customWidth="1" min="3" max="6" width="14.0"/>
    <col customWidth="1" min="7" max="7" width="64.0"/>
    <col customWidth="1" min="8" max="26" width="8.71"/>
  </cols>
  <sheetData>
    <row r="1">
      <c r="A1" s="2" t="s">
        <v>7</v>
      </c>
    </row>
    <row r="2">
      <c r="A2" s="4" t="s">
        <v>9</v>
      </c>
    </row>
    <row r="4">
      <c r="A4" s="6" t="s">
        <v>12</v>
      </c>
      <c r="B4" s="8"/>
      <c r="C4" s="8"/>
      <c r="D4" s="8"/>
      <c r="E4" s="8"/>
      <c r="F4" s="8"/>
      <c r="G4" s="8"/>
    </row>
    <row r="5">
      <c r="A5" s="10" t="s">
        <v>17</v>
      </c>
      <c r="B5" s="10" t="s">
        <v>21</v>
      </c>
      <c r="C5" s="10" t="s">
        <v>22</v>
      </c>
      <c r="D5" s="10" t="s">
        <v>24</v>
      </c>
      <c r="E5" s="10" t="s">
        <v>25</v>
      </c>
      <c r="F5" s="10" t="s">
        <v>27</v>
      </c>
      <c r="G5" s="10" t="s">
        <v>28</v>
      </c>
    </row>
    <row r="6">
      <c r="A6" s="5" t="s">
        <v>32</v>
      </c>
      <c r="B6" s="12">
        <v>1.0</v>
      </c>
      <c r="C6" s="13">
        <v>3.618</v>
      </c>
      <c r="D6" s="13">
        <v>2.2466</v>
      </c>
      <c r="E6" s="17">
        <f t="shared" ref="E6:E22" si="1">B6*C6</f>
        <v>3.618</v>
      </c>
      <c r="F6" s="17">
        <f t="shared" ref="F6:F22" si="2">B6*D6</f>
        <v>2.2466</v>
      </c>
      <c r="G6" s="4" t="s">
        <v>60</v>
      </c>
    </row>
    <row r="7">
      <c r="A7" s="5" t="s">
        <v>62</v>
      </c>
      <c r="B7" s="12">
        <v>1.0</v>
      </c>
      <c r="C7" s="13">
        <v>5.6771</v>
      </c>
      <c r="D7" s="13">
        <v>4.1037</v>
      </c>
      <c r="E7" s="17">
        <f t="shared" si="1"/>
        <v>5.6771</v>
      </c>
      <c r="F7" s="17">
        <f t="shared" si="2"/>
        <v>4.1037</v>
      </c>
      <c r="G7" s="4" t="s">
        <v>68</v>
      </c>
    </row>
    <row r="8">
      <c r="A8" s="5" t="s">
        <v>69</v>
      </c>
      <c r="B8" s="12">
        <v>1.0</v>
      </c>
      <c r="C8" s="13">
        <v>0.74</v>
      </c>
      <c r="D8" s="13">
        <v>0.3774</v>
      </c>
      <c r="E8" s="17">
        <f t="shared" si="1"/>
        <v>0.74</v>
      </c>
      <c r="F8" s="17">
        <f t="shared" si="2"/>
        <v>0.3774</v>
      </c>
      <c r="G8" s="4"/>
    </row>
    <row r="9">
      <c r="A9" s="5" t="s">
        <v>76</v>
      </c>
      <c r="B9" s="12">
        <v>1.0</v>
      </c>
      <c r="C9" s="13">
        <v>0.0493</v>
      </c>
      <c r="D9" s="13">
        <v>0.02</v>
      </c>
      <c r="E9" s="17">
        <f t="shared" si="1"/>
        <v>0.0493</v>
      </c>
      <c r="F9" s="17">
        <f t="shared" si="2"/>
        <v>0.02</v>
      </c>
      <c r="G9" s="4"/>
    </row>
    <row r="10">
      <c r="A10" s="5" t="s">
        <v>82</v>
      </c>
      <c r="B10" s="12">
        <v>1.0</v>
      </c>
      <c r="C10" s="13">
        <v>0.1055</v>
      </c>
      <c r="D10" s="13">
        <v>0.0635</v>
      </c>
      <c r="E10" s="17">
        <f t="shared" si="1"/>
        <v>0.1055</v>
      </c>
      <c r="F10" s="17">
        <f t="shared" si="2"/>
        <v>0.0635</v>
      </c>
      <c r="G10" s="4" t="s">
        <v>83</v>
      </c>
    </row>
    <row r="11">
      <c r="A11" s="5" t="s">
        <v>84</v>
      </c>
      <c r="B11" s="12">
        <v>1.0</v>
      </c>
      <c r="C11" s="13">
        <v>0.0072</v>
      </c>
      <c r="D11" s="13">
        <v>0.005</v>
      </c>
      <c r="E11" s="17">
        <f t="shared" si="1"/>
        <v>0.0072</v>
      </c>
      <c r="F11" s="17">
        <f t="shared" si="2"/>
        <v>0.005</v>
      </c>
      <c r="G11" s="4"/>
    </row>
    <row r="12">
      <c r="A12" s="5" t="s">
        <v>91</v>
      </c>
      <c r="B12" s="12">
        <v>1.0</v>
      </c>
      <c r="C12" s="13">
        <v>0.0354</v>
      </c>
      <c r="D12" s="13">
        <v>0.0235</v>
      </c>
      <c r="E12" s="17">
        <f t="shared" si="1"/>
        <v>0.0354</v>
      </c>
      <c r="F12" s="17">
        <f t="shared" si="2"/>
        <v>0.0235</v>
      </c>
      <c r="G12" s="4" t="s">
        <v>83</v>
      </c>
    </row>
    <row r="13">
      <c r="A13" s="5" t="s">
        <v>96</v>
      </c>
      <c r="B13" s="12">
        <v>1.0</v>
      </c>
      <c r="C13" s="13">
        <v>0.2119</v>
      </c>
      <c r="D13" s="13">
        <v>0.1285</v>
      </c>
      <c r="E13" s="17">
        <f t="shared" si="1"/>
        <v>0.2119</v>
      </c>
      <c r="F13" s="17">
        <f t="shared" si="2"/>
        <v>0.1285</v>
      </c>
      <c r="G13" s="4" t="s">
        <v>83</v>
      </c>
    </row>
    <row r="14">
      <c r="A14" s="5" t="s">
        <v>103</v>
      </c>
      <c r="B14" s="12">
        <v>1.0</v>
      </c>
      <c r="C14" s="13">
        <v>0.0284</v>
      </c>
      <c r="D14" s="13">
        <v>0.0241</v>
      </c>
      <c r="E14" s="17">
        <f t="shared" si="1"/>
        <v>0.0284</v>
      </c>
      <c r="F14" s="17">
        <f t="shared" si="2"/>
        <v>0.0241</v>
      </c>
      <c r="G14" s="4"/>
    </row>
    <row r="15">
      <c r="A15" s="5" t="s">
        <v>107</v>
      </c>
      <c r="B15" s="12">
        <v>1.0</v>
      </c>
      <c r="C15" s="13">
        <v>0.5853</v>
      </c>
      <c r="D15" s="13">
        <v>0.3198</v>
      </c>
      <c r="E15" s="17">
        <f t="shared" si="1"/>
        <v>0.5853</v>
      </c>
      <c r="F15" s="17">
        <f t="shared" si="2"/>
        <v>0.3198</v>
      </c>
      <c r="G15" s="4"/>
    </row>
    <row r="16">
      <c r="A16" s="5" t="s">
        <v>113</v>
      </c>
      <c r="B16" s="12">
        <v>7.0</v>
      </c>
      <c r="C16" s="13">
        <v>8.0E-4</v>
      </c>
      <c r="D16" s="13">
        <v>4.0E-4</v>
      </c>
      <c r="E16" s="17">
        <f t="shared" si="1"/>
        <v>0.0056</v>
      </c>
      <c r="F16" s="17">
        <f t="shared" si="2"/>
        <v>0.0028</v>
      </c>
      <c r="G16" s="4"/>
    </row>
    <row r="17">
      <c r="A17" s="5" t="s">
        <v>118</v>
      </c>
      <c r="B17" s="12">
        <v>2.0</v>
      </c>
      <c r="C17" s="13">
        <v>8.0E-4</v>
      </c>
      <c r="D17" s="13">
        <v>4.0E-4</v>
      </c>
      <c r="E17" s="17">
        <f t="shared" si="1"/>
        <v>0.0016</v>
      </c>
      <c r="F17" s="17">
        <f t="shared" si="2"/>
        <v>0.0008</v>
      </c>
      <c r="G17" s="4" t="s">
        <v>124</v>
      </c>
    </row>
    <row r="18">
      <c r="A18" s="5" t="s">
        <v>125</v>
      </c>
      <c r="B18" s="12">
        <v>1.0</v>
      </c>
      <c r="C18" s="13">
        <v>8.0E-4</v>
      </c>
      <c r="D18" s="13">
        <v>4.0E-4</v>
      </c>
      <c r="E18" s="17">
        <f t="shared" si="1"/>
        <v>0.0008</v>
      </c>
      <c r="F18" s="17">
        <f t="shared" si="2"/>
        <v>0.0004</v>
      </c>
      <c r="G18" s="4"/>
    </row>
    <row r="19">
      <c r="A19" s="5" t="s">
        <v>130</v>
      </c>
      <c r="B19" s="12">
        <v>4.0</v>
      </c>
      <c r="C19" s="13">
        <v>0.0052</v>
      </c>
      <c r="D19" s="13">
        <v>0.0027</v>
      </c>
      <c r="E19" s="17">
        <f t="shared" si="1"/>
        <v>0.0208</v>
      </c>
      <c r="F19" s="17">
        <f t="shared" si="2"/>
        <v>0.0108</v>
      </c>
      <c r="G19" s="4"/>
    </row>
    <row r="20">
      <c r="A20" s="5" t="s">
        <v>137</v>
      </c>
      <c r="B20" s="12">
        <v>1.0</v>
      </c>
      <c r="C20" s="13">
        <v>0.0065</v>
      </c>
      <c r="D20" s="13">
        <v>0.0038</v>
      </c>
      <c r="E20" s="17">
        <f t="shared" si="1"/>
        <v>0.0065</v>
      </c>
      <c r="F20" s="17">
        <f t="shared" si="2"/>
        <v>0.0038</v>
      </c>
      <c r="G20" s="4"/>
    </row>
    <row r="21" ht="15.75" customHeight="1">
      <c r="A21" s="5" t="s">
        <v>142</v>
      </c>
      <c r="B21" s="12">
        <v>1.0</v>
      </c>
      <c r="C21" s="13">
        <v>0.0041</v>
      </c>
      <c r="D21" s="13">
        <v>0.0024</v>
      </c>
      <c r="E21" s="17">
        <f t="shared" si="1"/>
        <v>0.0041</v>
      </c>
      <c r="F21" s="17">
        <f t="shared" si="2"/>
        <v>0.0024</v>
      </c>
      <c r="G21" s="4"/>
    </row>
    <row r="22" ht="15.75" customHeight="1">
      <c r="A22" s="5" t="s">
        <v>147</v>
      </c>
      <c r="B22" s="12">
        <v>1.0</v>
      </c>
      <c r="C22" s="13">
        <v>0.0034</v>
      </c>
      <c r="D22" s="13">
        <v>0.0015</v>
      </c>
      <c r="E22" s="17">
        <f t="shared" si="1"/>
        <v>0.0034</v>
      </c>
      <c r="F22" s="17">
        <f t="shared" si="2"/>
        <v>0.0015</v>
      </c>
      <c r="G22" s="4"/>
    </row>
    <row r="23" ht="15.75" customHeight="1">
      <c r="A23" s="3" t="s">
        <v>150</v>
      </c>
      <c r="E23" s="25">
        <f t="shared" ref="E23:F23" si="3">SUM(E6:E22)</f>
        <v>11.1009</v>
      </c>
      <c r="F23" s="25">
        <f t="shared" si="3"/>
        <v>7.3346</v>
      </c>
    </row>
    <row r="24" ht="15.75" customHeight="1">
      <c r="A24" s="26" t="s">
        <v>155</v>
      </c>
      <c r="B24" s="12">
        <v>1.0</v>
      </c>
      <c r="C24" s="13">
        <v>5.95</v>
      </c>
      <c r="D24" s="28">
        <v>5.95</v>
      </c>
      <c r="E24" s="18">
        <f>B24*C24</f>
        <v>5.95</v>
      </c>
      <c r="F24" s="18">
        <f>B24*D24</f>
        <v>5.95</v>
      </c>
      <c r="G24" s="4" t="s">
        <v>163</v>
      </c>
    </row>
    <row r="25" ht="15.75" customHeight="1">
      <c r="A25" s="9" t="s">
        <v>165</v>
      </c>
      <c r="E25" s="25">
        <f t="shared" ref="E25:F25" si="4">E23+E24</f>
        <v>17.0509</v>
      </c>
      <c r="F25" s="25">
        <f t="shared" si="4"/>
        <v>13.2846</v>
      </c>
    </row>
    <row r="26" ht="15.75" customHeight="1"/>
    <row r="27" ht="15.75" customHeight="1">
      <c r="A27" s="6" t="s">
        <v>167</v>
      </c>
      <c r="B27" s="8"/>
      <c r="C27" s="8"/>
      <c r="D27" s="8"/>
      <c r="E27" s="8"/>
      <c r="F27" s="8"/>
      <c r="G27" s="8"/>
    </row>
    <row r="28" ht="15.75" customHeight="1">
      <c r="A28" s="10" t="s">
        <v>169</v>
      </c>
      <c r="B28" s="10"/>
      <c r="C28" s="10" t="s">
        <v>170</v>
      </c>
      <c r="D28" s="10" t="s">
        <v>171</v>
      </c>
      <c r="E28" s="10"/>
      <c r="F28" s="10"/>
      <c r="G28" s="10" t="s">
        <v>28</v>
      </c>
    </row>
    <row r="29" ht="15.75" customHeight="1">
      <c r="A29" s="5" t="s">
        <v>173</v>
      </c>
      <c r="C29" s="32">
        <v>18.73</v>
      </c>
      <c r="D29" s="32">
        <v>14.0575</v>
      </c>
      <c r="G29" s="4" t="s">
        <v>174</v>
      </c>
    </row>
    <row r="30" ht="15.75" customHeight="1">
      <c r="A30" s="5" t="s">
        <v>175</v>
      </c>
      <c r="C30" s="32">
        <v>5.3929</v>
      </c>
      <c r="G30" s="4" t="s">
        <v>176</v>
      </c>
    </row>
    <row r="31" ht="15.75" customHeight="1">
      <c r="A31" s="5" t="s">
        <v>177</v>
      </c>
      <c r="C31" s="32">
        <v>11.1009</v>
      </c>
      <c r="D31" s="32">
        <v>7.3346</v>
      </c>
      <c r="G31" s="4" t="s">
        <v>178</v>
      </c>
    </row>
    <row r="32" ht="15.75" customHeight="1">
      <c r="A32" s="26" t="s">
        <v>179</v>
      </c>
      <c r="D32" s="32">
        <v>13.2846</v>
      </c>
      <c r="G32" s="4" t="s">
        <v>180</v>
      </c>
    </row>
    <row r="33" ht="15.75" customHeight="1">
      <c r="A33" s="9" t="s">
        <v>181</v>
      </c>
      <c r="D33" s="33">
        <f>(D29-D32)/D29</f>
        <v>0.05498132669</v>
      </c>
      <c r="G33" s="4" t="s">
        <v>183</v>
      </c>
    </row>
    <row r="34" ht="15.75" customHeight="1"/>
    <row r="35" ht="15.75" customHeight="1">
      <c r="A35" s="7" t="s">
        <v>184</v>
      </c>
      <c r="B35" s="8"/>
      <c r="C35" s="8"/>
      <c r="D35" s="8"/>
      <c r="E35" s="8"/>
      <c r="F35" s="8"/>
      <c r="G35" s="8"/>
    </row>
    <row r="36" ht="15.75" customHeight="1">
      <c r="A36" s="5" t="s">
        <v>185</v>
      </c>
      <c r="E36" s="18">
        <f>F25</f>
        <v>13.2846</v>
      </c>
    </row>
    <row r="37" ht="15.75" customHeight="1">
      <c r="A37" s="5" t="s">
        <v>77</v>
      </c>
      <c r="E37" s="34">
        <f>Assumptions!$B$18</f>
        <v>4.5</v>
      </c>
    </row>
    <row r="38" ht="15.75" customHeight="1">
      <c r="A38" s="5" t="s">
        <v>80</v>
      </c>
      <c r="E38" s="34">
        <f>Assumptions!$B$19</f>
        <v>6</v>
      </c>
    </row>
    <row r="39" ht="15.75" customHeight="1">
      <c r="A39" s="5" t="s">
        <v>85</v>
      </c>
      <c r="E39" s="34">
        <f>Assumptions!$B$20</f>
        <v>1.5</v>
      </c>
    </row>
    <row r="40" ht="15.75" customHeight="1">
      <c r="A40" s="5" t="s">
        <v>88</v>
      </c>
      <c r="E40" s="34">
        <f>Assumptions!$B$21</f>
        <v>2</v>
      </c>
    </row>
    <row r="41" ht="15.75" customHeight="1">
      <c r="A41" s="5" t="s">
        <v>187</v>
      </c>
      <c r="E41" s="18">
        <f>SUM(E36:E40)</f>
        <v>27.2846</v>
      </c>
    </row>
    <row r="42" ht="15.75" customHeight="1">
      <c r="A42" s="5" t="s">
        <v>90</v>
      </c>
      <c r="E42" s="18">
        <f>E41*Assumptions!$B$22</f>
        <v>1.36423</v>
      </c>
    </row>
    <row r="43" ht="15.75" customHeight="1">
      <c r="A43" s="9" t="s">
        <v>188</v>
      </c>
      <c r="E43" s="25">
        <f>E41+E42</f>
        <v>28.64883</v>
      </c>
    </row>
    <row r="44" ht="15.75" customHeight="1">
      <c r="A44" s="5" t="s">
        <v>189</v>
      </c>
      <c r="E44" s="34">
        <f>Assumptions!$B$12</f>
        <v>199</v>
      </c>
    </row>
    <row r="45" ht="15.75" customHeight="1">
      <c r="A45" s="9" t="s">
        <v>190</v>
      </c>
      <c r="E45" s="33">
        <f>(E44-E43)/E44</f>
        <v>0.8560360302</v>
      </c>
      <c r="G45" s="4" t="s">
        <v>192</v>
      </c>
    </row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printOptions/>
  <pageMargins bottom="1.0" footer="0.0" header="0.0" left="0.75" right="0.75" top="1.0"/>
  <pageSetup paperSize="9" orientation="portrait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showGridLines="0" workbookViewId="0">
      <pane ySplit="3.0" topLeftCell="A4" activePane="bottomLeft" state="frozen"/>
      <selection activeCell="B5" sqref="B5" pane="bottomLeft"/>
    </sheetView>
  </sheetViews>
  <sheetFormatPr customHeight="1" defaultColWidth="14.43" defaultRowHeight="15.0"/>
  <cols>
    <col customWidth="1" min="1" max="1" width="46.0"/>
    <col customWidth="1" min="2" max="6" width="16.0"/>
    <col customWidth="1" min="7" max="7" width="60.0"/>
    <col customWidth="1" min="8" max="26" width="8.71"/>
  </cols>
  <sheetData>
    <row r="1">
      <c r="A1" s="2" t="s">
        <v>159</v>
      </c>
    </row>
    <row r="2">
      <c r="A2" s="4" t="s">
        <v>162</v>
      </c>
    </row>
    <row r="4">
      <c r="A4" s="9" t="s">
        <v>126</v>
      </c>
      <c r="B4" s="31" t="s">
        <v>127</v>
      </c>
      <c r="C4" s="31" t="s">
        <v>128</v>
      </c>
      <c r="D4" s="31" t="s">
        <v>129</v>
      </c>
      <c r="E4" s="31" t="s">
        <v>131</v>
      </c>
      <c r="F4" s="31" t="s">
        <v>132</v>
      </c>
    </row>
    <row r="5">
      <c r="A5" s="7" t="s">
        <v>168</v>
      </c>
      <c r="B5" s="8"/>
      <c r="C5" s="8"/>
      <c r="D5" s="8"/>
      <c r="E5" s="8"/>
      <c r="F5" s="8"/>
    </row>
    <row r="6">
      <c r="A6" s="5" t="s">
        <v>172</v>
      </c>
      <c r="B6" s="20">
        <v>0.0</v>
      </c>
      <c r="C6" s="20">
        <f t="shared" ref="C6:F6" si="1">B9</f>
        <v>1068</v>
      </c>
      <c r="D6" s="20">
        <f t="shared" si="1"/>
        <v>4838.04</v>
      </c>
      <c r="E6" s="20">
        <f t="shared" si="1"/>
        <v>13563.6712</v>
      </c>
      <c r="F6" s="20">
        <f t="shared" si="1"/>
        <v>30159.66354</v>
      </c>
    </row>
    <row r="7">
      <c r="A7" s="5" t="s">
        <v>182</v>
      </c>
      <c r="B7" s="15">
        <f>Assumptions!$B$36</f>
        <v>1200</v>
      </c>
      <c r="C7" s="15">
        <f>Assumptions!$C$36</f>
        <v>4500</v>
      </c>
      <c r="D7" s="15">
        <f>Assumptions!$D$36</f>
        <v>11000</v>
      </c>
      <c r="E7" s="15">
        <f>Assumptions!$E$36</f>
        <v>22000</v>
      </c>
      <c r="F7" s="15">
        <f>Assumptions!$F$36</f>
        <v>36000</v>
      </c>
    </row>
    <row r="8">
      <c r="A8" s="5" t="s">
        <v>186</v>
      </c>
      <c r="B8" s="20">
        <f>-(B6+B7*0.5)*Assumptions!$B$32</f>
        <v>-132</v>
      </c>
      <c r="C8" s="20">
        <f>-(C6+C7*0.5)*Assumptions!$B$32</f>
        <v>-729.96</v>
      </c>
      <c r="D8" s="20">
        <f>-(D6+D7*0.5)*Assumptions!$B$32</f>
        <v>-2274.3688</v>
      </c>
      <c r="E8" s="20">
        <f>-(E6+E7*0.5)*Assumptions!$B$32</f>
        <v>-5404.007664</v>
      </c>
      <c r="F8" s="20">
        <f>-(F6+F7*0.5)*Assumptions!$B$32</f>
        <v>-10595.12598</v>
      </c>
    </row>
    <row r="9">
      <c r="A9" s="9" t="s">
        <v>191</v>
      </c>
      <c r="B9" s="35">
        <f t="shared" ref="B9:F9" si="2">B6+B7+B8</f>
        <v>1068</v>
      </c>
      <c r="C9" s="35">
        <f t="shared" si="2"/>
        <v>4838.04</v>
      </c>
      <c r="D9" s="35">
        <f t="shared" si="2"/>
        <v>13563.6712</v>
      </c>
      <c r="E9" s="35">
        <f t="shared" si="2"/>
        <v>30159.66354</v>
      </c>
      <c r="F9" s="35">
        <f t="shared" si="2"/>
        <v>55564.53756</v>
      </c>
      <c r="G9" s="4" t="s">
        <v>193</v>
      </c>
    </row>
    <row r="10">
      <c r="A10" s="5" t="s">
        <v>194</v>
      </c>
      <c r="B10" s="20">
        <f t="shared" ref="B10:F10" si="3">(B6+B9)/2</f>
        <v>534</v>
      </c>
      <c r="C10" s="20">
        <f t="shared" si="3"/>
        <v>2953.02</v>
      </c>
      <c r="D10" s="20">
        <f t="shared" si="3"/>
        <v>9200.8556</v>
      </c>
      <c r="E10" s="20">
        <f t="shared" si="3"/>
        <v>21861.66737</v>
      </c>
      <c r="F10" s="20">
        <f t="shared" si="3"/>
        <v>42862.10055</v>
      </c>
    </row>
    <row r="12">
      <c r="A12" s="7" t="s">
        <v>195</v>
      </c>
      <c r="B12" s="8"/>
      <c r="C12" s="8"/>
      <c r="D12" s="8"/>
      <c r="E12" s="8"/>
      <c r="F12" s="8"/>
    </row>
    <row r="13">
      <c r="A13" s="5" t="s">
        <v>196</v>
      </c>
      <c r="B13" s="36">
        <f>B7*Assumptions!$B$12</f>
        <v>238800</v>
      </c>
      <c r="C13" s="36">
        <f>C7*Assumptions!$B$12</f>
        <v>895500</v>
      </c>
      <c r="D13" s="36">
        <f>D7*Assumptions!$B$12</f>
        <v>2189000</v>
      </c>
      <c r="E13" s="36">
        <f>E7*Assumptions!$B$12</f>
        <v>4378000</v>
      </c>
      <c r="F13" s="36">
        <f>F7*Assumptions!$B$12</f>
        <v>7164000</v>
      </c>
    </row>
    <row r="14">
      <c r="A14" s="5" t="s">
        <v>199</v>
      </c>
      <c r="B14" s="36">
        <f>B10*Assumptions!$B$13*12</f>
        <v>223959.6</v>
      </c>
      <c r="C14" s="36">
        <f>C10*Assumptions!$B$13*12</f>
        <v>1238496.588</v>
      </c>
      <c r="D14" s="36">
        <f>D10*Assumptions!$B$13*12</f>
        <v>3858838.839</v>
      </c>
      <c r="E14" s="36">
        <f>E10*Assumptions!$B$13*12</f>
        <v>9168783.294</v>
      </c>
      <c r="F14" s="36">
        <f>F10*Assumptions!$B$13*12</f>
        <v>17976364.97</v>
      </c>
    </row>
    <row r="15">
      <c r="A15" s="9" t="s">
        <v>211</v>
      </c>
      <c r="B15" s="19">
        <f t="shared" ref="B15:F15" si="4">B13+B14</f>
        <v>462759.6</v>
      </c>
      <c r="C15" s="19">
        <f t="shared" si="4"/>
        <v>2133996.588</v>
      </c>
      <c r="D15" s="19">
        <f t="shared" si="4"/>
        <v>6047838.839</v>
      </c>
      <c r="E15" s="19">
        <f t="shared" si="4"/>
        <v>13546783.29</v>
      </c>
      <c r="F15" s="19">
        <f t="shared" si="4"/>
        <v>25140364.97</v>
      </c>
    </row>
    <row r="16">
      <c r="A16" s="5" t="s">
        <v>217</v>
      </c>
      <c r="B16" s="40">
        <f t="shared" ref="B16:F16" si="5">IFERROR(B14/B15,0)</f>
        <v>0.4839653245</v>
      </c>
      <c r="C16" s="40">
        <f t="shared" si="5"/>
        <v>0.5803648398</v>
      </c>
      <c r="D16" s="40">
        <f t="shared" si="5"/>
        <v>0.6380525245</v>
      </c>
      <c r="E16" s="40">
        <f t="shared" si="5"/>
        <v>0.6768236485</v>
      </c>
      <c r="F16" s="40">
        <f t="shared" si="5"/>
        <v>0.7150399364</v>
      </c>
    </row>
    <row r="18">
      <c r="A18" s="7" t="s">
        <v>222</v>
      </c>
      <c r="B18" s="8"/>
      <c r="C18" s="8"/>
      <c r="D18" s="8"/>
      <c r="E18" s="8"/>
      <c r="F18" s="8"/>
    </row>
    <row r="19">
      <c r="A19" s="5" t="s">
        <v>224</v>
      </c>
      <c r="B19" s="18">
        <f>Assumptions!$B$13*12</f>
        <v>419.4</v>
      </c>
    </row>
    <row r="20">
      <c r="A20" s="5" t="s">
        <v>227</v>
      </c>
      <c r="B20" s="18">
        <f>(Assumptions!$B$25+Assumptions!$B$26+Assumptions!$B$27)*12+B19*Assumptions!$B$28</f>
        <v>141.582</v>
      </c>
    </row>
    <row r="21" ht="15.75" customHeight="1">
      <c r="A21" s="9" t="s">
        <v>229</v>
      </c>
      <c r="B21" s="25">
        <f>B19-B20</f>
        <v>277.818</v>
      </c>
    </row>
    <row r="22" ht="15.75" customHeight="1">
      <c r="A22" s="5" t="s">
        <v>231</v>
      </c>
      <c r="B22" s="18">
        <f>Assumptions!$B$12-'BOM &amp; Unit Cost'!$E$43</f>
        <v>170.35117</v>
      </c>
    </row>
    <row r="23" ht="15.75" customHeight="1">
      <c r="A23" s="5" t="s">
        <v>235</v>
      </c>
      <c r="B23" s="42">
        <f>1/Assumptions!$B$32</f>
        <v>4.545454545</v>
      </c>
      <c r="C23" s="4" t="s">
        <v>66</v>
      </c>
    </row>
    <row r="24" ht="15.75" customHeight="1">
      <c r="A24" s="9" t="s">
        <v>241</v>
      </c>
      <c r="B24" s="25">
        <f>B22+B21*B23</f>
        <v>1433.160261</v>
      </c>
    </row>
    <row r="25" ht="15.75" customHeight="1">
      <c r="A25" s="5" t="s">
        <v>114</v>
      </c>
      <c r="B25" s="34">
        <f>Assumptions!$B$31</f>
        <v>250</v>
      </c>
    </row>
    <row r="26" ht="15.75" customHeight="1">
      <c r="A26" s="9" t="s">
        <v>248</v>
      </c>
      <c r="B26" s="44">
        <f>IFERROR(B24/B25,0)</f>
        <v>5.732641044</v>
      </c>
      <c r="G26" s="4" t="s">
        <v>253</v>
      </c>
    </row>
    <row r="27" ht="15.75" customHeight="1">
      <c r="A27" s="5" t="s">
        <v>254</v>
      </c>
      <c r="B27" s="42">
        <f>IFERROR(MAX(0,(Assumptions!$B$31-B22))/(B21/12),0)</f>
        <v>3.440331296</v>
      </c>
      <c r="C27" s="4" t="s">
        <v>260</v>
      </c>
    </row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printOptions/>
  <pageMargins bottom="1.0" footer="0.0" header="0.0" left="0.75" right="0.75" top="1.0"/>
  <pageSetup paperSize="9" orientation="portrait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showGridLines="0" workbookViewId="0">
      <pane ySplit="3.0" topLeftCell="A4" activePane="bottomLeft" state="frozen"/>
      <selection activeCell="B5" sqref="B5" pane="bottomLeft"/>
    </sheetView>
  </sheetViews>
  <sheetFormatPr customHeight="1" defaultColWidth="14.43" defaultRowHeight="15.0"/>
  <cols>
    <col customWidth="1" min="1" max="1" width="46.0"/>
    <col customWidth="1" min="2" max="6" width="16.0"/>
    <col customWidth="1" min="7" max="7" width="58.0"/>
    <col customWidth="1" min="8" max="26" width="8.71"/>
  </cols>
  <sheetData>
    <row r="1">
      <c r="A1" s="1" t="s">
        <v>197</v>
      </c>
    </row>
    <row r="2">
      <c r="A2" s="4" t="s">
        <v>198</v>
      </c>
    </row>
    <row r="4">
      <c r="A4" s="9" t="s">
        <v>126</v>
      </c>
      <c r="B4" s="31" t="s">
        <v>127</v>
      </c>
      <c r="C4" s="31" t="s">
        <v>128</v>
      </c>
      <c r="D4" s="31" t="s">
        <v>129</v>
      </c>
      <c r="E4" s="31" t="s">
        <v>131</v>
      </c>
      <c r="F4" s="31" t="s">
        <v>132</v>
      </c>
    </row>
    <row r="5">
      <c r="A5" s="7" t="s">
        <v>195</v>
      </c>
      <c r="B5" s="8"/>
      <c r="C5" s="8"/>
      <c r="D5" s="8"/>
      <c r="E5" s="8"/>
      <c r="F5" s="8"/>
    </row>
    <row r="6">
      <c r="A6" s="37" t="s">
        <v>196</v>
      </c>
      <c r="B6" s="24">
        <f>'Revenue Build'!B13</f>
        <v>238800</v>
      </c>
      <c r="C6" s="24">
        <f>'Revenue Build'!C13</f>
        <v>895500</v>
      </c>
      <c r="D6" s="24">
        <f>'Revenue Build'!D13</f>
        <v>2189000</v>
      </c>
      <c r="E6" s="24">
        <f>'Revenue Build'!E13</f>
        <v>4378000</v>
      </c>
      <c r="F6" s="24">
        <f>'Revenue Build'!F13</f>
        <v>7164000</v>
      </c>
    </row>
    <row r="7">
      <c r="A7" s="37" t="s">
        <v>199</v>
      </c>
      <c r="B7" s="24">
        <f>'Revenue Build'!B14</f>
        <v>223959.6</v>
      </c>
      <c r="C7" s="24">
        <f>'Revenue Build'!C14</f>
        <v>1238496.588</v>
      </c>
      <c r="D7" s="24">
        <f>'Revenue Build'!D14</f>
        <v>3858838.839</v>
      </c>
      <c r="E7" s="24">
        <f>'Revenue Build'!E14</f>
        <v>9168783.294</v>
      </c>
      <c r="F7" s="24">
        <f>'Revenue Build'!F14</f>
        <v>17976364.97</v>
      </c>
    </row>
    <row r="8">
      <c r="A8" s="9" t="s">
        <v>216</v>
      </c>
      <c r="B8" s="19">
        <f t="shared" ref="B8:F8" si="1">B6+B7</f>
        <v>462759.6</v>
      </c>
      <c r="C8" s="19">
        <f t="shared" si="1"/>
        <v>2133996.588</v>
      </c>
      <c r="D8" s="19">
        <f t="shared" si="1"/>
        <v>6047838.839</v>
      </c>
      <c r="E8" s="19">
        <f t="shared" si="1"/>
        <v>13546783.29</v>
      </c>
      <c r="F8" s="19">
        <f t="shared" si="1"/>
        <v>25140364.97</v>
      </c>
    </row>
    <row r="10">
      <c r="A10" s="7" t="s">
        <v>220</v>
      </c>
      <c r="B10" s="8"/>
      <c r="C10" s="8"/>
      <c r="D10" s="8"/>
      <c r="E10" s="8"/>
      <c r="F10" s="8"/>
    </row>
    <row r="11">
      <c r="A11" s="5" t="s">
        <v>221</v>
      </c>
      <c r="B11" s="36">
        <f>-'Revenue Build'!B7*'BOM &amp; Unit Cost'!$E$43</f>
        <v>-34378.596</v>
      </c>
      <c r="C11" s="36">
        <f>-'Revenue Build'!C7*'BOM &amp; Unit Cost'!$E$43</f>
        <v>-128919.735</v>
      </c>
      <c r="D11" s="36">
        <f>-'Revenue Build'!D7*'BOM &amp; Unit Cost'!$E$43</f>
        <v>-315137.13</v>
      </c>
      <c r="E11" s="36">
        <f>-'Revenue Build'!E7*'BOM &amp; Unit Cost'!$E$43</f>
        <v>-630274.26</v>
      </c>
      <c r="F11" s="36">
        <f>-'Revenue Build'!F7*'BOM &amp; Unit Cost'!$E$43</f>
        <v>-1031357.88</v>
      </c>
    </row>
    <row r="12">
      <c r="A12" s="5" t="s">
        <v>230</v>
      </c>
      <c r="B12" s="36">
        <f>-'Revenue Build'!B10*(Assumptions!$B$25+Assumptions!$B$26+Assumptions!$B$27)*12-'Revenue Build'!B14*Assumptions!$B$28</f>
        <v>-75604.788</v>
      </c>
      <c r="C12" s="36">
        <f>-'Revenue Build'!C10*(Assumptions!$B$25+Assumptions!$B$26+Assumptions!$B$27)*12-'Revenue Build'!C14*Assumptions!$B$28</f>
        <v>-418094.4776</v>
      </c>
      <c r="D12" s="36">
        <f>-'Revenue Build'!D10*(Assumptions!$B$25+Assumptions!$B$26+Assumptions!$B$27)*12-'Revenue Build'!D14*Assumptions!$B$28</f>
        <v>-1302675.538</v>
      </c>
      <c r="E12" s="36">
        <f>-'Revenue Build'!E10*(Assumptions!$B$25+Assumptions!$B$26+Assumptions!$B$27)*12-'Revenue Build'!E14*Assumptions!$B$28</f>
        <v>-3095218.589</v>
      </c>
      <c r="F12" s="36">
        <f>-'Revenue Build'!F10*(Assumptions!$B$25+Assumptions!$B$26+Assumptions!$B$27)*12-'Revenue Build'!F14*Assumptions!$B$28</f>
        <v>-6068501.92</v>
      </c>
    </row>
    <row r="13">
      <c r="A13" s="9" t="s">
        <v>263</v>
      </c>
      <c r="B13" s="19">
        <f t="shared" ref="B13:F13" si="2">B8+B11+B12</f>
        <v>352776.216</v>
      </c>
      <c r="C13" s="19">
        <f t="shared" si="2"/>
        <v>1586982.375</v>
      </c>
      <c r="D13" s="19">
        <f t="shared" si="2"/>
        <v>4430026.171</v>
      </c>
      <c r="E13" s="19">
        <f t="shared" si="2"/>
        <v>9821290.445</v>
      </c>
      <c r="F13" s="19">
        <f t="shared" si="2"/>
        <v>18040505.17</v>
      </c>
    </row>
    <row r="14">
      <c r="A14" s="5" t="s">
        <v>287</v>
      </c>
      <c r="B14" s="40">
        <f t="shared" ref="B14:F14" si="3">IFERROR(B13/B8,0)</f>
        <v>0.7623314913</v>
      </c>
      <c r="C14" s="40">
        <f t="shared" si="3"/>
        <v>0.743666782</v>
      </c>
      <c r="D14" s="40">
        <f t="shared" si="3"/>
        <v>0.7324973911</v>
      </c>
      <c r="E14" s="40">
        <f t="shared" si="3"/>
        <v>0.7249905923</v>
      </c>
      <c r="F14" s="40">
        <f t="shared" si="3"/>
        <v>0.71759122</v>
      </c>
    </row>
    <row r="16">
      <c r="A16" s="7" t="s">
        <v>307</v>
      </c>
      <c r="B16" s="8"/>
      <c r="C16" s="8"/>
      <c r="D16" s="8"/>
      <c r="E16" s="8"/>
      <c r="F16" s="8"/>
    </row>
    <row r="17">
      <c r="A17" s="5" t="s">
        <v>313</v>
      </c>
      <c r="B17" s="36">
        <f>-'Revenue Build'!B7*Assumptions!$B$31</f>
        <v>-300000</v>
      </c>
      <c r="C17" s="36">
        <f>-'Revenue Build'!C7*Assumptions!$B$31</f>
        <v>-1125000</v>
      </c>
      <c r="D17" s="36">
        <f>-'Revenue Build'!D7*Assumptions!$B$31</f>
        <v>-2750000</v>
      </c>
      <c r="E17" s="36">
        <f>-'Revenue Build'!E7*Assumptions!$B$31</f>
        <v>-5500000</v>
      </c>
      <c r="F17" s="36">
        <f>-'Revenue Build'!F7*Assumptions!$B$31</f>
        <v>-9000000</v>
      </c>
      <c r="G17" s="4" t="s">
        <v>338</v>
      </c>
    </row>
    <row r="18">
      <c r="A18" s="37" t="s">
        <v>151</v>
      </c>
      <c r="B18" s="24">
        <f>-Assumptions!$B$46</f>
        <v>-180000</v>
      </c>
      <c r="C18" s="24">
        <f>-Assumptions!$C$46</f>
        <v>-220000</v>
      </c>
      <c r="D18" s="24">
        <f>-Assumptions!$D$46</f>
        <v>-260000</v>
      </c>
      <c r="E18" s="24">
        <f>-Assumptions!$E$46</f>
        <v>-300000</v>
      </c>
      <c r="F18" s="24">
        <f>-Assumptions!$F$46</f>
        <v>-340000</v>
      </c>
    </row>
    <row r="19">
      <c r="A19" s="37" t="s">
        <v>152</v>
      </c>
      <c r="B19" s="24">
        <f>-Assumptions!$B$47</f>
        <v>-90000</v>
      </c>
      <c r="C19" s="24">
        <f>-Assumptions!$C$47</f>
        <v>-140000</v>
      </c>
      <c r="D19" s="24">
        <f>-Assumptions!$D$47</f>
        <v>-220000</v>
      </c>
      <c r="E19" s="24">
        <f>-Assumptions!$E$47</f>
        <v>-320000</v>
      </c>
      <c r="F19" s="24">
        <f>-Assumptions!$F$47</f>
        <v>-420000</v>
      </c>
    </row>
    <row r="20">
      <c r="A20" s="5" t="s">
        <v>341</v>
      </c>
      <c r="B20" s="36">
        <f>-(Assumptions!$B$40+Assumptions!$B$41+Assumptions!$B$42)</f>
        <v>-69200</v>
      </c>
      <c r="C20" s="36">
        <f t="shared" ref="C20:F20" si="4">0</f>
        <v>0</v>
      </c>
      <c r="D20" s="36">
        <f t="shared" si="4"/>
        <v>0</v>
      </c>
      <c r="E20" s="36">
        <f t="shared" si="4"/>
        <v>0</v>
      </c>
      <c r="F20" s="36">
        <f t="shared" si="4"/>
        <v>0</v>
      </c>
      <c r="G20" s="4" t="s">
        <v>342</v>
      </c>
    </row>
    <row r="21" ht="15.75" customHeight="1">
      <c r="A21" s="9" t="s">
        <v>343</v>
      </c>
      <c r="B21" s="19">
        <f t="shared" ref="B21:F21" si="5">SUM(B17:B20)</f>
        <v>-639200</v>
      </c>
      <c r="C21" s="19">
        <f t="shared" si="5"/>
        <v>-1485000</v>
      </c>
      <c r="D21" s="19">
        <f t="shared" si="5"/>
        <v>-3230000</v>
      </c>
      <c r="E21" s="19">
        <f t="shared" si="5"/>
        <v>-6120000</v>
      </c>
      <c r="F21" s="19">
        <f t="shared" si="5"/>
        <v>-9760000</v>
      </c>
    </row>
    <row r="22" ht="15.75" customHeight="1"/>
    <row r="23" ht="15.75" customHeight="1">
      <c r="A23" s="9" t="s">
        <v>245</v>
      </c>
      <c r="B23" s="19">
        <f t="shared" ref="B23:F23" si="6">B13+B21</f>
        <v>-286423.784</v>
      </c>
      <c r="C23" s="19">
        <f t="shared" si="6"/>
        <v>101982.3754</v>
      </c>
      <c r="D23" s="19">
        <f t="shared" si="6"/>
        <v>1200026.171</v>
      </c>
      <c r="E23" s="19">
        <f t="shared" si="6"/>
        <v>3701290.445</v>
      </c>
      <c r="F23" s="19">
        <f t="shared" si="6"/>
        <v>8280505.17</v>
      </c>
    </row>
    <row r="24" ht="15.75" customHeight="1">
      <c r="A24" s="5" t="s">
        <v>247</v>
      </c>
      <c r="B24" s="40">
        <f t="shared" ref="B24:F24" si="7">IFERROR(B23/B8,0)</f>
        <v>-0.6189472547</v>
      </c>
      <c r="C24" s="40">
        <f t="shared" si="7"/>
        <v>0.0477893807</v>
      </c>
      <c r="D24" s="40">
        <f t="shared" si="7"/>
        <v>0.198422313</v>
      </c>
      <c r="E24" s="40">
        <f t="shared" si="7"/>
        <v>0.2732228282</v>
      </c>
      <c r="F24" s="40">
        <f t="shared" si="7"/>
        <v>0.3293709212</v>
      </c>
    </row>
    <row r="25" ht="15.75" customHeight="1">
      <c r="A25" s="9" t="s">
        <v>344</v>
      </c>
      <c r="B25" s="19">
        <f>B23</f>
        <v>-286423.784</v>
      </c>
      <c r="C25" s="19">
        <f t="shared" ref="C25:F25" si="8">B25+C23</f>
        <v>-184441.4086</v>
      </c>
      <c r="D25" s="19">
        <f t="shared" si="8"/>
        <v>1015584.762</v>
      </c>
      <c r="E25" s="19">
        <f t="shared" si="8"/>
        <v>4716875.207</v>
      </c>
      <c r="F25" s="19">
        <f t="shared" si="8"/>
        <v>12997380.38</v>
      </c>
    </row>
    <row r="26" ht="15.75" customHeight="1"/>
    <row r="27" ht="15.75" customHeight="1">
      <c r="A27" s="9" t="s">
        <v>226</v>
      </c>
      <c r="B27" s="19">
        <f>-MIN(B25:F25)</f>
        <v>286423.784</v>
      </c>
      <c r="G27" s="4" t="s">
        <v>345</v>
      </c>
    </row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printOptions/>
  <pageMargins bottom="1.0" footer="0.0" header="0.0" left="0.75" right="0.75" top="1.0"/>
  <pageSetup paperSize="9" orientation="portrait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showGridLines="0" workbookViewId="0">
      <pane ySplit="3.0" topLeftCell="A4" activePane="bottomLeft" state="frozen"/>
      <selection activeCell="B5" sqref="B5" pane="bottomLeft"/>
    </sheetView>
  </sheetViews>
  <sheetFormatPr customHeight="1" defaultColWidth="14.43" defaultRowHeight="15.0"/>
  <cols>
    <col customWidth="1" min="1" max="1" width="46.0"/>
    <col customWidth="1" min="2" max="5" width="20.0"/>
    <col customWidth="1" min="6" max="6" width="60.0"/>
    <col customWidth="1" min="7" max="26" width="8.71"/>
  </cols>
  <sheetData>
    <row r="1">
      <c r="A1" s="2" t="s">
        <v>200</v>
      </c>
    </row>
    <row r="2">
      <c r="A2" s="4" t="s">
        <v>201</v>
      </c>
    </row>
    <row r="4">
      <c r="A4" s="7" t="s">
        <v>202</v>
      </c>
      <c r="B4" s="8"/>
      <c r="C4" s="8"/>
      <c r="D4" s="8"/>
      <c r="E4" s="8"/>
      <c r="F4" s="8"/>
    </row>
    <row r="5">
      <c r="A5" s="10" t="s">
        <v>203</v>
      </c>
      <c r="B5" s="10" t="s">
        <v>204</v>
      </c>
      <c r="C5" s="10" t="s">
        <v>205</v>
      </c>
      <c r="D5" s="10" t="s">
        <v>206</v>
      </c>
      <c r="E5" s="10" t="s">
        <v>207</v>
      </c>
      <c r="F5" s="10" t="s">
        <v>208</v>
      </c>
    </row>
    <row r="6">
      <c r="A6" s="5" t="s">
        <v>114</v>
      </c>
      <c r="B6" s="32">
        <v>400.0</v>
      </c>
      <c r="C6" s="32">
        <v>250.0</v>
      </c>
      <c r="D6" s="32">
        <v>150.0</v>
      </c>
      <c r="E6" s="34">
        <f>Assumptions!$B$31</f>
        <v>250</v>
      </c>
      <c r="F6" s="4" t="s">
        <v>209</v>
      </c>
    </row>
    <row r="7">
      <c r="A7" s="5" t="s">
        <v>210</v>
      </c>
      <c r="B7" s="38">
        <v>0.35</v>
      </c>
      <c r="C7" s="38">
        <v>0.22</v>
      </c>
      <c r="D7" s="38">
        <v>0.14</v>
      </c>
      <c r="E7" s="39">
        <f>Assumptions!$B$32</f>
        <v>0.22</v>
      </c>
      <c r="F7" s="4" t="s">
        <v>212</v>
      </c>
    </row>
    <row r="8">
      <c r="A8" s="5" t="s">
        <v>213</v>
      </c>
      <c r="B8" s="32">
        <v>9.0</v>
      </c>
      <c r="C8" s="32">
        <v>6.0</v>
      </c>
      <c r="D8" s="32">
        <v>4.0</v>
      </c>
      <c r="E8" s="34">
        <f>Assumptions!$B$26</f>
        <v>6</v>
      </c>
      <c r="F8" s="4" t="s">
        <v>214</v>
      </c>
    </row>
    <row r="9">
      <c r="A9" s="5" t="s">
        <v>215</v>
      </c>
      <c r="B9" s="32">
        <v>18.0</v>
      </c>
      <c r="C9" s="32">
        <v>10.5</v>
      </c>
      <c r="D9" s="32">
        <v>7.0</v>
      </c>
      <c r="E9" s="34">
        <f>Assumptions!$B$18+Assumptions!$B$19</f>
        <v>10.5</v>
      </c>
      <c r="F9" s="4" t="s">
        <v>218</v>
      </c>
    </row>
    <row r="11">
      <c r="A11" s="7" t="s">
        <v>219</v>
      </c>
      <c r="B11" s="8"/>
      <c r="C11" s="8"/>
      <c r="D11" s="8"/>
      <c r="E11" s="8"/>
      <c r="F11" s="8"/>
    </row>
    <row r="12">
      <c r="A12" s="5" t="s">
        <v>149</v>
      </c>
      <c r="B12" s="24">
        <f>'P&amp;L'!F8</f>
        <v>25140364.97</v>
      </c>
    </row>
    <row r="13">
      <c r="A13" s="5" t="s">
        <v>223</v>
      </c>
      <c r="B13" s="24">
        <f>'P&amp;L'!F23</f>
        <v>8280505.17</v>
      </c>
    </row>
    <row r="14">
      <c r="A14" s="5" t="s">
        <v>225</v>
      </c>
      <c r="B14" s="39">
        <f>'P&amp;L'!F24</f>
        <v>0.3293709212</v>
      </c>
    </row>
    <row r="15">
      <c r="A15" s="5" t="s">
        <v>226</v>
      </c>
      <c r="B15" s="24">
        <f>-MIN('P&amp;L'!B25:F25)</f>
        <v>286423.784</v>
      </c>
    </row>
    <row r="16">
      <c r="A16" s="5" t="s">
        <v>228</v>
      </c>
      <c r="B16" s="41">
        <f>'Revenue Build'!B24/Assumptions!$B$31</f>
        <v>5.732641044</v>
      </c>
    </row>
    <row r="18">
      <c r="A18" s="29" t="s">
        <v>232</v>
      </c>
      <c r="B18" s="30"/>
      <c r="C18" s="30"/>
      <c r="D18" s="30"/>
      <c r="E18" s="30"/>
      <c r="F18" s="30"/>
    </row>
    <row r="19">
      <c r="A19" s="4" t="s">
        <v>233</v>
      </c>
    </row>
    <row r="20">
      <c r="A20" s="4" t="s">
        <v>234</v>
      </c>
    </row>
    <row r="21" ht="15.75" customHeight="1">
      <c r="A21" s="4" t="s">
        <v>236</v>
      </c>
    </row>
    <row r="22" ht="15.75" customHeight="1">
      <c r="A22" s="4"/>
    </row>
    <row r="23" ht="15.75" customHeight="1">
      <c r="A23" s="4" t="s">
        <v>237</v>
      </c>
    </row>
    <row r="24" ht="15.75" customHeight="1">
      <c r="A24" s="21" t="s">
        <v>238</v>
      </c>
    </row>
    <row r="25" ht="15.75" customHeight="1">
      <c r="A25" s="4" t="s">
        <v>239</v>
      </c>
    </row>
    <row r="26" ht="15.75" customHeight="1"/>
    <row r="27" ht="15.75" customHeight="1">
      <c r="A27" s="7" t="s">
        <v>240</v>
      </c>
      <c r="B27" s="8"/>
      <c r="C27" s="8"/>
      <c r="D27" s="8"/>
      <c r="E27" s="8"/>
      <c r="F27" s="8"/>
    </row>
    <row r="28" ht="15.75" customHeight="1">
      <c r="A28" s="10" t="s">
        <v>242</v>
      </c>
      <c r="B28" s="10" t="s">
        <v>204</v>
      </c>
      <c r="C28" s="10" t="s">
        <v>205</v>
      </c>
      <c r="D28" s="10" t="s">
        <v>206</v>
      </c>
      <c r="E28" s="10"/>
      <c r="F28" s="10" t="s">
        <v>243</v>
      </c>
    </row>
    <row r="29" ht="15.75" customHeight="1">
      <c r="A29" s="5" t="s">
        <v>216</v>
      </c>
      <c r="B29" s="36">
        <v>2.2349869E7</v>
      </c>
      <c r="C29" s="36">
        <v>2.5140365E7</v>
      </c>
      <c r="D29" s="36">
        <v>2.7080662E7</v>
      </c>
      <c r="F29" s="4" t="s">
        <v>244</v>
      </c>
    </row>
    <row r="30" ht="15.75" customHeight="1">
      <c r="A30" s="5" t="s">
        <v>245</v>
      </c>
      <c r="B30" s="36">
        <v>-554977.0</v>
      </c>
      <c r="C30" s="36">
        <v>8280505.0</v>
      </c>
      <c r="D30" s="36">
        <v>1.4437815E7</v>
      </c>
      <c r="F30" s="4" t="s">
        <v>246</v>
      </c>
    </row>
    <row r="31" ht="15.75" customHeight="1">
      <c r="A31" s="5" t="s">
        <v>247</v>
      </c>
      <c r="B31" s="40">
        <v>-0.025</v>
      </c>
      <c r="C31" s="40">
        <v>0.329</v>
      </c>
      <c r="D31" s="40">
        <v>0.533</v>
      </c>
      <c r="F31" s="4"/>
    </row>
    <row r="32" ht="15.75" customHeight="1">
      <c r="A32" s="5" t="s">
        <v>191</v>
      </c>
      <c r="B32" s="20">
        <v>46528.0</v>
      </c>
      <c r="C32" s="20">
        <v>55565.0</v>
      </c>
      <c r="D32" s="20">
        <v>61914.0</v>
      </c>
      <c r="F32" s="4" t="s">
        <v>249</v>
      </c>
    </row>
    <row r="33" ht="15.75" customHeight="1">
      <c r="A33" s="5" t="s">
        <v>250</v>
      </c>
      <c r="B33" s="36">
        <v>4244176.0</v>
      </c>
      <c r="C33" s="36">
        <v>286424.0</v>
      </c>
      <c r="D33" s="36">
        <v>141954.0</v>
      </c>
      <c r="F33" s="4" t="s">
        <v>251</v>
      </c>
    </row>
    <row r="34" ht="15.75" customHeight="1">
      <c r="A34" s="5" t="s">
        <v>228</v>
      </c>
      <c r="B34" s="43">
        <v>2.13</v>
      </c>
      <c r="C34" s="43">
        <v>5.73</v>
      </c>
      <c r="D34" s="43">
        <v>15.53</v>
      </c>
      <c r="F34" s="4" t="s">
        <v>252</v>
      </c>
    </row>
    <row r="35" ht="15.75" customHeight="1">
      <c r="A35" s="5" t="s">
        <v>254</v>
      </c>
      <c r="B35" s="42">
        <v>11.8</v>
      </c>
      <c r="C35" s="42">
        <v>3.4</v>
      </c>
      <c r="D35" s="42">
        <v>0.0</v>
      </c>
      <c r="F35" s="4"/>
    </row>
    <row r="36" ht="15.75" customHeight="1">
      <c r="A36" s="4" t="s">
        <v>255</v>
      </c>
    </row>
    <row r="37" ht="15.75" customHeight="1"/>
    <row r="38" ht="15.75" customHeight="1">
      <c r="A38" s="29" t="s">
        <v>256</v>
      </c>
      <c r="B38" s="30"/>
      <c r="C38" s="30"/>
      <c r="D38" s="30"/>
      <c r="E38" s="30"/>
      <c r="F38" s="30"/>
    </row>
    <row r="39" ht="15.75" customHeight="1">
      <c r="A39" s="4" t="s">
        <v>257</v>
      </c>
    </row>
    <row r="40" ht="15.75" customHeight="1">
      <c r="A40" s="4" t="s">
        <v>258</v>
      </c>
    </row>
    <row r="41" ht="15.75" customHeight="1">
      <c r="A41" s="4" t="s">
        <v>259</v>
      </c>
    </row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printOptions/>
  <pageMargins bottom="1.0" footer="0.0" header="0.0" left="0.75" right="0.75" top="1.0"/>
  <pageSetup paperSize="9" orientation="portrait"/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showGridLines="0" workbookViewId="0">
      <pane ySplit="3.0" topLeftCell="A4" activePane="bottomLeft" state="frozen"/>
      <selection activeCell="B5" sqref="B5" pane="bottomLeft"/>
    </sheetView>
  </sheetViews>
  <sheetFormatPr customHeight="1" defaultColWidth="14.43" defaultRowHeight="15.0"/>
  <cols>
    <col customWidth="1" min="1" max="1" width="52.0"/>
    <col customWidth="1" min="2" max="2" width="26.0"/>
    <col customWidth="1" min="3" max="3" width="20.0"/>
    <col customWidth="1" min="4" max="4" width="86.0"/>
    <col customWidth="1" min="5" max="26" width="8.71"/>
  </cols>
  <sheetData>
    <row r="1">
      <c r="A1" s="2" t="s">
        <v>261</v>
      </c>
    </row>
    <row r="2">
      <c r="A2" s="4" t="s">
        <v>262</v>
      </c>
    </row>
    <row r="4">
      <c r="A4" s="10" t="s">
        <v>264</v>
      </c>
      <c r="B4" s="10" t="s">
        <v>265</v>
      </c>
      <c r="C4" s="10" t="s">
        <v>266</v>
      </c>
      <c r="D4" s="10" t="s">
        <v>267</v>
      </c>
    </row>
    <row r="5">
      <c r="A5" s="5" t="s">
        <v>268</v>
      </c>
      <c r="B5" s="5" t="s">
        <v>269</v>
      </c>
      <c r="C5" s="5" t="s">
        <v>270</v>
      </c>
      <c r="D5" s="4" t="s">
        <v>271</v>
      </c>
    </row>
    <row r="6">
      <c r="A6" s="5" t="s">
        <v>272</v>
      </c>
      <c r="B6" s="5" t="s">
        <v>273</v>
      </c>
      <c r="C6" s="5" t="s">
        <v>274</v>
      </c>
      <c r="D6" s="4" t="s">
        <v>275</v>
      </c>
    </row>
    <row r="7">
      <c r="A7" s="5" t="s">
        <v>276</v>
      </c>
      <c r="B7" s="5" t="s">
        <v>277</v>
      </c>
      <c r="C7" s="5" t="s">
        <v>278</v>
      </c>
      <c r="D7" s="4" t="s">
        <v>279</v>
      </c>
    </row>
    <row r="8">
      <c r="A8" s="5" t="s">
        <v>280</v>
      </c>
      <c r="B8" s="5" t="s">
        <v>281</v>
      </c>
      <c r="C8" s="5" t="s">
        <v>282</v>
      </c>
      <c r="D8" s="4" t="s">
        <v>283</v>
      </c>
    </row>
    <row r="9">
      <c r="A9" s="5" t="s">
        <v>284</v>
      </c>
      <c r="B9" s="5" t="s">
        <v>285</v>
      </c>
      <c r="C9" s="5" t="s">
        <v>286</v>
      </c>
      <c r="D9" s="4" t="s">
        <v>288</v>
      </c>
    </row>
    <row r="10">
      <c r="A10" s="5" t="s">
        <v>289</v>
      </c>
      <c r="B10" s="5" t="s">
        <v>290</v>
      </c>
      <c r="C10" s="5" t="s">
        <v>291</v>
      </c>
      <c r="D10" s="4" t="s">
        <v>292</v>
      </c>
    </row>
    <row r="11">
      <c r="A11" s="5" t="s">
        <v>293</v>
      </c>
      <c r="B11" s="5" t="s">
        <v>294</v>
      </c>
      <c r="C11" s="5" t="s">
        <v>295</v>
      </c>
      <c r="D11" s="4" t="s">
        <v>296</v>
      </c>
    </row>
    <row r="12">
      <c r="A12" s="5" t="s">
        <v>297</v>
      </c>
      <c r="B12" s="5" t="s">
        <v>298</v>
      </c>
      <c r="C12" s="5" t="s">
        <v>299</v>
      </c>
      <c r="D12" s="4" t="s">
        <v>300</v>
      </c>
    </row>
    <row r="13">
      <c r="A13" s="5" t="s">
        <v>301</v>
      </c>
      <c r="B13" s="5" t="s">
        <v>302</v>
      </c>
      <c r="C13" s="5" t="s">
        <v>303</v>
      </c>
      <c r="D13" s="4" t="s">
        <v>304</v>
      </c>
    </row>
    <row r="14">
      <c r="A14" s="5" t="s">
        <v>305</v>
      </c>
      <c r="B14" s="5" t="s">
        <v>306</v>
      </c>
      <c r="C14" s="5" t="s">
        <v>303</v>
      </c>
      <c r="D14" s="4" t="s">
        <v>308</v>
      </c>
    </row>
    <row r="15">
      <c r="A15" s="5" t="s">
        <v>309</v>
      </c>
      <c r="B15" s="5" t="s">
        <v>310</v>
      </c>
      <c r="C15" s="5" t="s">
        <v>311</v>
      </c>
      <c r="D15" s="4" t="s">
        <v>312</v>
      </c>
    </row>
    <row r="16">
      <c r="A16" s="5" t="s">
        <v>314</v>
      </c>
      <c r="B16" s="5" t="s">
        <v>315</v>
      </c>
      <c r="C16" s="5" t="s">
        <v>316</v>
      </c>
      <c r="D16" s="4" t="s">
        <v>317</v>
      </c>
    </row>
    <row r="17">
      <c r="A17" s="5" t="s">
        <v>318</v>
      </c>
      <c r="B17" s="5" t="s">
        <v>319</v>
      </c>
      <c r="C17" s="5" t="s">
        <v>320</v>
      </c>
      <c r="D17" s="4" t="s">
        <v>321</v>
      </c>
    </row>
    <row r="18">
      <c r="A18" s="5" t="s">
        <v>322</v>
      </c>
      <c r="B18" s="5" t="s">
        <v>323</v>
      </c>
      <c r="C18" s="5" t="s">
        <v>324</v>
      </c>
      <c r="D18" s="4" t="s">
        <v>325</v>
      </c>
    </row>
    <row r="19">
      <c r="A19" s="5" t="s">
        <v>326</v>
      </c>
      <c r="B19" s="5" t="s">
        <v>327</v>
      </c>
      <c r="C19" s="5" t="s">
        <v>328</v>
      </c>
      <c r="D19" s="21" t="s">
        <v>329</v>
      </c>
    </row>
    <row r="20">
      <c r="A20" s="5" t="s">
        <v>330</v>
      </c>
      <c r="B20" s="5" t="s">
        <v>331</v>
      </c>
      <c r="C20" s="5" t="s">
        <v>303</v>
      </c>
      <c r="D20" s="4" t="s">
        <v>332</v>
      </c>
    </row>
    <row r="21" ht="15.75" customHeight="1"/>
    <row r="22" ht="15.75" customHeight="1">
      <c r="A22" s="3" t="s">
        <v>333</v>
      </c>
    </row>
    <row r="23" ht="15.75" customHeight="1">
      <c r="A23" s="4" t="s">
        <v>334</v>
      </c>
    </row>
    <row r="24" ht="15.75" customHeight="1">
      <c r="A24" s="4" t="s">
        <v>335</v>
      </c>
    </row>
    <row r="25" ht="15.75" customHeight="1">
      <c r="A25" s="4" t="s">
        <v>336</v>
      </c>
    </row>
    <row r="26" ht="15.75" customHeight="1">
      <c r="A26" s="4" t="s">
        <v>337</v>
      </c>
    </row>
    <row r="27" ht="15.75" customHeight="1">
      <c r="A27" s="4" t="s">
        <v>339</v>
      </c>
    </row>
    <row r="28" ht="15.75" customHeight="1">
      <c r="A28" s="4" t="s">
        <v>340</v>
      </c>
    </row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printOptions/>
  <pageMargins bottom="1.0" footer="0.0" header="0.0" left="0.75" right="0.75" top="1.0"/>
  <pageSetup paperSize="9" orientation="portrait"/>
  <drawing r:id="rId1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2026-08-23T02:41:44Z</dcterms:created>
  <dc:creator>openpyxl</dc:creator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